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980" windowHeight="10395" activeTab="0"/>
  </bookViews>
  <sheets>
    <sheet name="Feuil1" sheetId="1" r:id="rId1"/>
  </sheets>
  <definedNames>
    <definedName name="fyd">'Feuil1'!$I$33</definedName>
    <definedName name="gc">'Feuil1'!$B$17</definedName>
    <definedName name="N">'Feuil1'!$B$8</definedName>
    <definedName name="tabac">'Feuil1'!$U$7:$W$9</definedName>
    <definedName name="tabEC">'Feuil1'!$U$3:$V$5</definedName>
    <definedName name="tabfck">'Feuil1'!$U$17:$AC$30</definedName>
    <definedName name="_xlnm.Print_Area" localSheetId="0">'Feuil1'!$A$1:$O$94</definedName>
  </definedNames>
  <calcPr fullCalcOnLoad="1" iterate="1" iterateCount="10" iterateDelta="0.001"/>
</workbook>
</file>

<file path=xl/comments1.xml><?xml version="1.0" encoding="utf-8"?>
<comments xmlns="http://schemas.openxmlformats.org/spreadsheetml/2006/main">
  <authors>
    <author>mactho1</author>
  </authors>
  <commentList>
    <comment ref="B25" authorId="0">
      <text>
        <r>
          <rPr>
            <b/>
            <sz val="9"/>
            <rFont val="Tahoma"/>
            <family val="0"/>
          </rPr>
          <t>Section entièrement comprimée
ou bien parttiellement comprimée sans armatures longitudinales nécessaires</t>
        </r>
      </text>
    </comment>
    <comment ref="C25" authorId="0">
      <text>
        <r>
          <rPr>
            <b/>
            <sz val="9"/>
            <rFont val="Tahoma"/>
            <family val="0"/>
          </rPr>
          <t>Section partiellement tendue</t>
        </r>
        <r>
          <rPr>
            <sz val="9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0"/>
          </rPr>
          <t>Section entièrement tendue</t>
        </r>
        <r>
          <rPr>
            <sz val="9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0"/>
          </rPr>
          <t>contrainte de compression du béton en fibre supérieure</t>
        </r>
      </text>
    </comment>
    <comment ref="A27" authorId="0">
      <text>
        <r>
          <rPr>
            <b/>
            <sz val="9"/>
            <rFont val="Tahoma"/>
            <family val="0"/>
          </rPr>
          <t>contrainte de compression du béton en fibre inférieure</t>
        </r>
      </text>
    </comment>
    <comment ref="A28" authorId="0">
      <text>
        <r>
          <rPr>
            <b/>
            <sz val="9"/>
            <rFont val="Tahoma"/>
            <family val="0"/>
          </rPr>
          <t xml:space="preserve">contrainte des armatures supérieures </t>
        </r>
      </text>
    </comment>
    <comment ref="A29" authorId="0">
      <text>
        <r>
          <rPr>
            <b/>
            <sz val="9"/>
            <rFont val="Tahoma"/>
            <family val="0"/>
          </rPr>
          <t xml:space="preserve">contrainte des armatures inférieures </t>
        </r>
        <r>
          <rPr>
            <sz val="9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0"/>
          </rPr>
          <t>section d'armatures supérieures</t>
        </r>
      </text>
    </comment>
    <comment ref="A31" authorId="0">
      <text>
        <r>
          <rPr>
            <b/>
            <sz val="9"/>
            <rFont val="Tahoma"/>
            <family val="0"/>
          </rPr>
          <t>section d'armatures supérieures</t>
        </r>
        <r>
          <rPr>
            <sz val="9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0"/>
          </rPr>
          <t>moment réduit =M/(b.d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0"/>
          </rPr>
          <t>.f</t>
        </r>
        <r>
          <rPr>
            <b/>
            <vertAlign val="subscript"/>
            <sz val="9"/>
            <rFont val="Tahoma"/>
            <family val="2"/>
          </rPr>
          <t>cd</t>
        </r>
        <r>
          <rPr>
            <b/>
            <sz val="9"/>
            <rFont val="Tahoma"/>
            <family val="0"/>
          </rPr>
          <t>)</t>
        </r>
      </text>
    </comment>
    <comment ref="B20" authorId="0">
      <text>
        <r>
          <rPr>
            <b/>
            <sz val="9"/>
            <rFont val="Tahoma"/>
            <family val="0"/>
          </rPr>
          <t>Inclinaison des bielles, sauf en section entièrement tendue où l'inclinaison est calculée en fonction de</t>
        </r>
        <r>
          <rPr>
            <b/>
            <sz val="9"/>
            <rFont val="Symbol"/>
            <family val="1"/>
          </rPr>
          <t xml:space="preserve"> s</t>
        </r>
        <r>
          <rPr>
            <b/>
            <vertAlign val="subscript"/>
            <sz val="9"/>
            <rFont val="Tahoma"/>
            <family val="2"/>
          </rPr>
          <t>Ed</t>
        </r>
        <r>
          <rPr>
            <b/>
            <sz val="9"/>
            <rFont val="Tahoma"/>
            <family val="0"/>
          </rPr>
          <t xml:space="preserve"> et de v</t>
        </r>
        <r>
          <rPr>
            <b/>
            <vertAlign val="subscript"/>
            <sz val="9"/>
            <rFont val="Tahoma"/>
            <family val="2"/>
          </rPr>
          <t>Ed</t>
        </r>
      </text>
    </comment>
    <comment ref="V32" authorId="0">
      <text>
        <r>
          <rPr>
            <b/>
            <sz val="9"/>
            <rFont val="Tahoma"/>
            <family val="0"/>
          </rPr>
          <t>enrobage à l'axe des armatures longitudinales pour le calcul à la torsion</t>
        </r>
        <r>
          <rPr>
            <sz val="9"/>
            <rFont val="Tahoma"/>
            <family val="0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0"/>
          </rPr>
          <t>distance du centre de gravité des armatures supérieures à la fibre supérieure</t>
        </r>
      </text>
    </comment>
    <comment ref="B21" authorId="0">
      <text>
        <r>
          <rPr>
            <b/>
            <sz val="9"/>
            <rFont val="Tahoma"/>
            <family val="0"/>
          </rPr>
          <t>diamètre des cadres</t>
        </r>
      </text>
    </comment>
    <comment ref="B22" authorId="0">
      <text>
        <r>
          <rPr>
            <b/>
            <sz val="9"/>
            <rFont val="Tahoma"/>
            <family val="0"/>
          </rPr>
          <t>nombre de brins par cours de cadres</t>
        </r>
      </text>
    </comment>
    <comment ref="D34" authorId="0">
      <text>
        <r>
          <rPr>
            <b/>
            <sz val="9"/>
            <rFont val="Tahoma"/>
            <family val="0"/>
          </rPr>
          <t>selon l'article 9.2.1.1 (1), pour chaque face tendue (sup. et/ou inf.)</t>
        </r>
      </text>
    </comment>
    <comment ref="A62" authorId="0">
      <text>
        <r>
          <rPr>
            <b/>
            <sz val="9"/>
            <rFont val="Tahoma"/>
            <family val="0"/>
          </rPr>
          <t>V</t>
        </r>
        <r>
          <rPr>
            <b/>
            <vertAlign val="subscript"/>
            <sz val="9"/>
            <rFont val="Tahoma"/>
            <family val="2"/>
          </rPr>
          <t>Ed</t>
        </r>
        <r>
          <rPr>
            <b/>
            <sz val="9"/>
            <rFont val="Tahoma"/>
            <family val="0"/>
          </rPr>
          <t>/V</t>
        </r>
        <r>
          <rPr>
            <b/>
            <vertAlign val="subscript"/>
            <sz val="9"/>
            <rFont val="Tahoma"/>
            <family val="2"/>
          </rPr>
          <t>Rd,max</t>
        </r>
        <r>
          <rPr>
            <b/>
            <sz val="9"/>
            <rFont val="Tahoma"/>
            <family val="0"/>
          </rPr>
          <t xml:space="preserve"> + T</t>
        </r>
        <r>
          <rPr>
            <b/>
            <vertAlign val="subscript"/>
            <sz val="9"/>
            <rFont val="Tahoma"/>
            <family val="2"/>
          </rPr>
          <t>Ed</t>
        </r>
        <r>
          <rPr>
            <b/>
            <sz val="9"/>
            <rFont val="Tahoma"/>
            <family val="0"/>
          </rPr>
          <t>/T</t>
        </r>
        <r>
          <rPr>
            <b/>
            <vertAlign val="subscript"/>
            <sz val="9"/>
            <rFont val="Tahoma"/>
            <family val="2"/>
          </rPr>
          <t>Rd,max</t>
        </r>
        <r>
          <rPr>
            <b/>
            <sz val="9"/>
            <rFont val="Tahoma"/>
            <family val="0"/>
          </rPr>
          <t xml:space="preserve"> </t>
        </r>
        <r>
          <rPr>
            <b/>
            <sz val="9"/>
            <rFont val="Arial"/>
            <family val="0"/>
          </rPr>
          <t>≤</t>
        </r>
        <r>
          <rPr>
            <b/>
            <sz val="9"/>
            <rFont val="Tahoma"/>
            <family val="0"/>
          </rPr>
          <t xml:space="preserve"> 1 ?</t>
        </r>
        <r>
          <rPr>
            <sz val="9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0"/>
          </rPr>
          <t>En plus des armatures longitudinales de flexion et déduction faite de l'effort de compression éventuel</t>
        </r>
      </text>
    </comment>
    <comment ref="A8" authorId="0">
      <text>
        <r>
          <rPr>
            <b/>
            <sz val="9"/>
            <rFont val="Tahoma"/>
            <family val="2"/>
          </rPr>
          <t>&gt; 0 pour uner compression
&lt; 0 pour une traction</t>
        </r>
        <r>
          <rPr>
            <sz val="9"/>
            <rFont val="Tahoma"/>
            <family val="0"/>
          </rPr>
          <t xml:space="preserve">
appliqué à mi-hauteur de la section béton</t>
        </r>
      </text>
    </comment>
    <comment ref="B11" authorId="0">
      <text>
        <r>
          <rPr>
            <b/>
            <sz val="9"/>
            <rFont val="Tahoma"/>
            <family val="0"/>
          </rPr>
          <t>Les dalles seront considérées comme bénéficiant d'un effet de redistribution transversale si b = 1 m et h &lt; 0,50 m</t>
        </r>
      </text>
    </comment>
    <comment ref="B12" authorId="0">
      <text>
        <r>
          <rPr>
            <b/>
            <sz val="9"/>
            <rFont val="Tahoma"/>
            <family val="0"/>
          </rPr>
          <t>Les dalles seront considérées comme bénéficiant d'un effet de redistribution transversale si b = 1 m et h &lt; 0,50 m</t>
        </r>
      </text>
    </comment>
    <comment ref="B14" authorId="0">
      <text>
        <r>
          <rPr>
            <b/>
            <sz val="9"/>
            <rFont val="Tahoma"/>
            <family val="0"/>
          </rPr>
          <t>distance du centre de gravité des armatures supérieures à la fibre supérieure</t>
        </r>
      </text>
    </comment>
    <comment ref="A81" authorId="0">
      <text>
        <r>
          <rPr>
            <b/>
            <sz val="9"/>
            <rFont val="Tahoma"/>
            <family val="0"/>
          </rPr>
          <t>espacement des cours de cadres</t>
        </r>
        <r>
          <rPr>
            <sz val="9"/>
            <rFont val="Tahoma"/>
            <family val="0"/>
          </rPr>
          <t xml:space="preserve">
</t>
        </r>
      </text>
    </comment>
    <comment ref="B82" authorId="0">
      <text>
        <r>
          <rPr>
            <b/>
            <sz val="9"/>
            <rFont val="Tahoma"/>
            <family val="0"/>
          </rPr>
          <t xml:space="preserve">espacement des cadres d'un même cours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<sst xmlns="http://schemas.openxmlformats.org/spreadsheetml/2006/main" count="346" uniqueCount="237">
  <si>
    <t>b</t>
  </si>
  <si>
    <t>h</t>
  </si>
  <si>
    <t>fck</t>
  </si>
  <si>
    <t>Tableau des caractéristiques des bétons selon EC2</t>
  </si>
  <si>
    <t>fctm</t>
  </si>
  <si>
    <t>Ecm</t>
  </si>
  <si>
    <t>ecu1</t>
  </si>
  <si>
    <t>ec1</t>
  </si>
  <si>
    <t>ecu2</t>
  </si>
  <si>
    <t>ec2</t>
  </si>
  <si>
    <t>n</t>
  </si>
  <si>
    <t>kc</t>
  </si>
  <si>
    <t>Données</t>
  </si>
  <si>
    <r>
      <t>cm</t>
    </r>
    <r>
      <rPr>
        <vertAlign val="superscript"/>
        <sz val="9"/>
        <rFont val="Arial"/>
        <family val="2"/>
      </rPr>
      <t>2</t>
    </r>
  </si>
  <si>
    <r>
      <t>V</t>
    </r>
    <r>
      <rPr>
        <vertAlign val="subscript"/>
        <sz val="9"/>
        <rFont val="Arial"/>
        <family val="2"/>
      </rPr>
      <t>Ed</t>
    </r>
  </si>
  <si>
    <t>MN</t>
  </si>
  <si>
    <t>z</t>
  </si>
  <si>
    <t>m</t>
  </si>
  <si>
    <r>
      <t>f</t>
    </r>
    <r>
      <rPr>
        <vertAlign val="subscript"/>
        <sz val="9"/>
        <rFont val="Arial"/>
        <family val="2"/>
      </rPr>
      <t>cd</t>
    </r>
  </si>
  <si>
    <t>MPa</t>
  </si>
  <si>
    <r>
      <t>f</t>
    </r>
    <r>
      <rPr>
        <vertAlign val="subscript"/>
        <sz val="9"/>
        <rFont val="Arial"/>
        <family val="2"/>
      </rPr>
      <t>yd</t>
    </r>
  </si>
  <si>
    <t>d</t>
  </si>
  <si>
    <r>
      <t>f</t>
    </r>
    <r>
      <rPr>
        <vertAlign val="subscript"/>
        <sz val="9"/>
        <rFont val="Arial"/>
        <family val="2"/>
      </rPr>
      <t>ctm</t>
    </r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</si>
  <si>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</si>
  <si>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</si>
  <si>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</si>
  <si>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</si>
  <si>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t>q</t>
  </si>
  <si>
    <t>°</t>
  </si>
  <si>
    <t>mm</t>
  </si>
  <si>
    <r>
      <t>T</t>
    </r>
    <r>
      <rPr>
        <vertAlign val="subscript"/>
        <sz val="9"/>
        <rFont val="Arial"/>
        <family val="2"/>
      </rPr>
      <t>Ed</t>
    </r>
  </si>
  <si>
    <t>MNm</t>
  </si>
  <si>
    <t>largeur</t>
  </si>
  <si>
    <t>résistance béton</t>
  </si>
  <si>
    <t>limite élastique acier</t>
  </si>
  <si>
    <t>inclinaison des bielles</t>
  </si>
  <si>
    <t>A</t>
  </si>
  <si>
    <t>u</t>
  </si>
  <si>
    <t>périmètre</t>
  </si>
  <si>
    <t>enrobage à l'axe des armatures longitudinales</t>
  </si>
  <si>
    <t>transversales</t>
  </si>
  <si>
    <t>longitudinales</t>
  </si>
  <si>
    <t>Eq. 6.29</t>
  </si>
  <si>
    <r>
      <t>f</t>
    </r>
    <r>
      <rPr>
        <vertAlign val="subscript"/>
        <sz val="9"/>
        <rFont val="Arial"/>
        <family val="2"/>
      </rPr>
      <t>ctd</t>
    </r>
  </si>
  <si>
    <t>k</t>
  </si>
  <si>
    <t>hauteur totale</t>
  </si>
  <si>
    <t>Armatures minimales</t>
  </si>
  <si>
    <t>aire</t>
  </si>
  <si>
    <t>effort tranchant résistant</t>
  </si>
  <si>
    <t>moment de torsion résistant</t>
  </si>
  <si>
    <t>cisaillement de torsion</t>
  </si>
  <si>
    <t>bras de levier</t>
  </si>
  <si>
    <t>béton</t>
  </si>
  <si>
    <t>d°</t>
  </si>
  <si>
    <t>H. Thonier</t>
  </si>
  <si>
    <t>L'auteur n'est pas</t>
  </si>
  <si>
    <t>responsable de</t>
  </si>
  <si>
    <t>l'utilisation faite</t>
  </si>
  <si>
    <t>de ce programme</t>
  </si>
  <si>
    <t>coefficient béton</t>
  </si>
  <si>
    <t>coefficient acier</t>
  </si>
  <si>
    <r>
      <t>M</t>
    </r>
    <r>
      <rPr>
        <vertAlign val="subscript"/>
        <sz val="9"/>
        <rFont val="Arial"/>
        <family val="2"/>
      </rPr>
      <t>Ed</t>
    </r>
  </si>
  <si>
    <r>
      <t>N</t>
    </r>
    <r>
      <rPr>
        <vertAlign val="subscript"/>
        <sz val="9"/>
        <rFont val="Arial"/>
        <family val="2"/>
      </rPr>
      <t>Ed</t>
    </r>
  </si>
  <si>
    <t>effort tranchant ELU</t>
  </si>
  <si>
    <t>moment de torsion ELU</t>
  </si>
  <si>
    <t>classe d'acier</t>
  </si>
  <si>
    <t>B</t>
  </si>
  <si>
    <t>C</t>
  </si>
  <si>
    <r>
      <t>cot</t>
    </r>
    <r>
      <rPr>
        <sz val="9"/>
        <rFont val="Symbol"/>
        <family val="1"/>
      </rPr>
      <t>q</t>
    </r>
  </si>
  <si>
    <r>
      <t>A</t>
    </r>
    <r>
      <rPr>
        <vertAlign val="subscript"/>
        <sz val="9"/>
        <rFont val="Arial"/>
        <family val="2"/>
      </rPr>
      <t>si</t>
    </r>
    <r>
      <rPr>
        <sz val="9"/>
        <rFont val="Arial"/>
        <family val="0"/>
      </rPr>
      <t>/u</t>
    </r>
    <r>
      <rPr>
        <vertAlign val="subscript"/>
        <sz val="9"/>
        <rFont val="Arial"/>
        <family val="2"/>
      </rPr>
      <t>k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</si>
  <si>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/m</t>
    </r>
  </si>
  <si>
    <r>
      <t>A</t>
    </r>
    <r>
      <rPr>
        <vertAlign val="subscript"/>
        <sz val="9"/>
        <rFont val="Arial"/>
        <family val="2"/>
      </rPr>
      <t>si</t>
    </r>
  </si>
  <si>
    <r>
      <t>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</si>
  <si>
    <r>
      <t>m</t>
    </r>
    <r>
      <rPr>
        <vertAlign val="super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</si>
  <si>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s,min</t>
    </r>
  </si>
  <si>
    <r>
      <t>t</t>
    </r>
    <r>
      <rPr>
        <vertAlign val="subscript"/>
        <sz val="9"/>
        <rFont val="Arial"/>
        <family val="2"/>
      </rPr>
      <t>ef,i</t>
    </r>
  </si>
  <si>
    <r>
      <t>A</t>
    </r>
    <r>
      <rPr>
        <vertAlign val="subscript"/>
        <sz val="9"/>
        <rFont val="Arial"/>
        <family val="2"/>
      </rPr>
      <t>k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</si>
  <si>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2"/>
      </rPr>
      <t>/s)</t>
    </r>
    <r>
      <rPr>
        <vertAlign val="subscript"/>
        <sz val="9"/>
        <rFont val="Arial"/>
        <family val="2"/>
      </rPr>
      <t>min</t>
    </r>
  </si>
  <si>
    <r>
      <t>u</t>
    </r>
    <r>
      <rPr>
        <vertAlign val="subscript"/>
        <sz val="9"/>
        <rFont val="Arial"/>
        <family val="2"/>
      </rPr>
      <t>k</t>
    </r>
  </si>
  <si>
    <r>
      <t>T</t>
    </r>
    <r>
      <rPr>
        <vertAlign val="subscript"/>
        <sz val="9"/>
        <rFont val="Arial"/>
        <family val="2"/>
      </rPr>
      <t>Rd,max</t>
    </r>
  </si>
  <si>
    <r>
      <t>t</t>
    </r>
    <r>
      <rPr>
        <vertAlign val="subscript"/>
        <sz val="9"/>
        <rFont val="Arial"/>
        <family val="2"/>
      </rPr>
      <t>t,i</t>
    </r>
  </si>
  <si>
    <t>entièrement comprimée</t>
  </si>
  <si>
    <t>partiellement tendue</t>
  </si>
  <si>
    <t>entièrement tendue</t>
  </si>
  <si>
    <r>
      <t>e</t>
    </r>
    <r>
      <rPr>
        <vertAlign val="subscript"/>
        <sz val="9"/>
        <rFont val="Arial"/>
        <family val="2"/>
      </rPr>
      <t>uk</t>
    </r>
  </si>
  <si>
    <t>‰</t>
  </si>
  <si>
    <t>ET</t>
  </si>
  <si>
    <t>PT</t>
  </si>
  <si>
    <t>EC</t>
  </si>
  <si>
    <r>
      <t>s</t>
    </r>
    <r>
      <rPr>
        <vertAlign val="subscript"/>
        <sz val="9"/>
        <rFont val="Arial"/>
        <family val="2"/>
      </rPr>
      <t>c1</t>
    </r>
  </si>
  <si>
    <r>
      <t>s</t>
    </r>
    <r>
      <rPr>
        <vertAlign val="subscript"/>
        <sz val="9"/>
        <rFont val="Arial"/>
        <family val="2"/>
      </rPr>
      <t>c2</t>
    </r>
  </si>
  <si>
    <r>
      <t>s</t>
    </r>
    <r>
      <rPr>
        <vertAlign val="subscript"/>
        <sz val="9"/>
        <rFont val="Arial"/>
        <family val="2"/>
      </rPr>
      <t>s1</t>
    </r>
  </si>
  <si>
    <r>
      <t>s</t>
    </r>
    <r>
      <rPr>
        <vertAlign val="subscript"/>
        <sz val="9"/>
        <rFont val="Arial"/>
        <family val="2"/>
      </rPr>
      <t>s2</t>
    </r>
  </si>
  <si>
    <r>
      <t>A</t>
    </r>
    <r>
      <rPr>
        <vertAlign val="subscript"/>
        <sz val="9"/>
        <rFont val="Arial"/>
        <family val="2"/>
      </rPr>
      <t>s,sup</t>
    </r>
  </si>
  <si>
    <r>
      <t>A</t>
    </r>
    <r>
      <rPr>
        <vertAlign val="subscript"/>
        <sz val="9"/>
        <rFont val="Arial"/>
        <family val="2"/>
      </rPr>
      <t>s,inf</t>
    </r>
  </si>
  <si>
    <t>d'</t>
  </si>
  <si>
    <t>distance armatures supérieures à fibre supérieure</t>
  </si>
  <si>
    <r>
      <t>A</t>
    </r>
    <r>
      <rPr>
        <vertAlign val="subscript"/>
        <sz val="9"/>
        <rFont val="Arial"/>
        <family val="2"/>
      </rPr>
      <t>sw</t>
    </r>
  </si>
  <si>
    <r>
      <t>s</t>
    </r>
    <r>
      <rPr>
        <vertAlign val="subscript"/>
        <sz val="9"/>
        <rFont val="Arial"/>
        <family val="2"/>
      </rPr>
      <t>Ed</t>
    </r>
  </si>
  <si>
    <r>
      <t>v</t>
    </r>
    <r>
      <rPr>
        <vertAlign val="subscript"/>
        <sz val="9"/>
        <rFont val="Arial"/>
        <family val="2"/>
      </rPr>
      <t>Ed</t>
    </r>
  </si>
  <si>
    <t>HA</t>
  </si>
  <si>
    <t>nb</t>
  </si>
  <si>
    <t>s</t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</si>
  <si>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</si>
  <si>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</si>
  <si>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t>code : 1=EC, 2=PT, 3=ET</t>
  </si>
  <si>
    <t>.</t>
  </si>
  <si>
    <r>
      <t>e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/h</t>
    </r>
  </si>
  <si>
    <t>Armatures d'effort tranchant nécessaires</t>
  </si>
  <si>
    <r>
      <t>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/V</t>
    </r>
    <r>
      <rPr>
        <vertAlign val="subscript"/>
        <sz val="9"/>
        <rFont val="Arial"/>
        <family val="2"/>
      </rPr>
      <t>Rd,max</t>
    </r>
  </si>
  <si>
    <t>excentricité relative</t>
  </si>
  <si>
    <r>
      <t>a</t>
    </r>
    <r>
      <rPr>
        <vertAlign val="subscript"/>
        <sz val="9"/>
        <rFont val="Arial"/>
        <family val="2"/>
      </rPr>
      <t>cw</t>
    </r>
  </si>
  <si>
    <t>&lt; 1 ?</t>
  </si>
  <si>
    <r>
      <t>V</t>
    </r>
    <r>
      <rPr>
        <vertAlign val="subscript"/>
        <sz val="9"/>
        <rFont val="Arial"/>
        <family val="2"/>
      </rPr>
      <t>Rd,max</t>
    </r>
  </si>
  <si>
    <t>Armatures  de torsion nécessaires</t>
  </si>
  <si>
    <t>Armatures transversales totales</t>
  </si>
  <si>
    <t>résistance béton en flexion</t>
  </si>
  <si>
    <t>résistance béton en effort tranchant-torsion</t>
  </si>
  <si>
    <r>
      <t>x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</si>
  <si>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0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</si>
  <si>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(aire d'un cours de cadres)</t>
    </r>
  </si>
  <si>
    <r>
      <t>s</t>
    </r>
    <r>
      <rPr>
        <vertAlign val="subscript"/>
        <sz val="9"/>
        <rFont val="Arial"/>
        <family val="2"/>
      </rPr>
      <t>max</t>
    </r>
  </si>
  <si>
    <t>mm (espacement de cours de cadres)</t>
  </si>
  <si>
    <t>mm (espacement maxi de cours de cadres)</t>
  </si>
  <si>
    <t>mm (espacement retenu de cours de cadres)</t>
  </si>
  <si>
    <t>Résultats intermédiaires</t>
  </si>
  <si>
    <t>inclinaison bielles donnée</t>
  </si>
  <si>
    <t>SECTION</t>
  </si>
  <si>
    <t>béton sup</t>
  </si>
  <si>
    <t>béton inf</t>
  </si>
  <si>
    <t>acier sup</t>
  </si>
  <si>
    <t>acier inf</t>
  </si>
  <si>
    <t>armature sup</t>
  </si>
  <si>
    <t>armature inf</t>
  </si>
  <si>
    <r>
      <t>s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/f</t>
    </r>
    <r>
      <rPr>
        <vertAlign val="subscript"/>
        <sz val="9"/>
        <rFont val="Arial"/>
        <family val="2"/>
      </rPr>
      <t>ctm</t>
    </r>
  </si>
  <si>
    <r>
      <t>d° totales sur le périmètre u</t>
    </r>
    <r>
      <rPr>
        <vertAlign val="subscript"/>
        <sz val="9"/>
        <rFont val="Arial"/>
        <family val="2"/>
      </rPr>
      <t>k</t>
    </r>
  </si>
  <si>
    <t>Vérification des résistances</t>
  </si>
  <si>
    <r>
      <t>Ø</t>
    </r>
    <r>
      <rPr>
        <sz val="10"/>
        <rFont val="Arial"/>
        <family val="0"/>
      </rPr>
      <t xml:space="preserve"> des armatures transversales</t>
    </r>
  </si>
  <si>
    <t>moment de flexion ELU</t>
  </si>
  <si>
    <t>inclinaison des cadres</t>
  </si>
  <si>
    <r>
      <t>s</t>
    </r>
    <r>
      <rPr>
        <vertAlign val="subscript"/>
        <sz val="9"/>
        <rFont val="Arial"/>
        <family val="2"/>
      </rPr>
      <t>Rd,max1</t>
    </r>
  </si>
  <si>
    <r>
      <t>s</t>
    </r>
    <r>
      <rPr>
        <vertAlign val="subscript"/>
        <sz val="9"/>
        <rFont val="Arial"/>
        <family val="2"/>
      </rPr>
      <t>Rd,max2</t>
    </r>
  </si>
  <si>
    <t>pour un cadre seul</t>
  </si>
  <si>
    <t xml:space="preserve">mm </t>
  </si>
  <si>
    <t>espacement maxi</t>
  </si>
  <si>
    <t>Les cadres sont affectés à la résistance au moment de torsion</t>
  </si>
  <si>
    <t>Les épingles et étriers à l'effort tranchant (+ éventuellement une fraction des cadres)</t>
  </si>
  <si>
    <t>calculées</t>
  </si>
  <si>
    <r>
      <t>r</t>
    </r>
    <r>
      <rPr>
        <vertAlign val="subscript"/>
        <sz val="9"/>
        <rFont val="Arial"/>
        <family val="2"/>
      </rPr>
      <t>l</t>
    </r>
  </si>
  <si>
    <r>
      <t>v</t>
    </r>
    <r>
      <rPr>
        <vertAlign val="subscript"/>
        <sz val="9"/>
        <rFont val="Arial"/>
        <family val="2"/>
      </rPr>
      <t>Rd,c1</t>
    </r>
  </si>
  <si>
    <r>
      <t>v</t>
    </r>
    <r>
      <rPr>
        <vertAlign val="subscript"/>
        <sz val="9"/>
        <rFont val="Arial"/>
        <family val="2"/>
      </rPr>
      <t>min</t>
    </r>
  </si>
  <si>
    <r>
      <t>s</t>
    </r>
    <r>
      <rPr>
        <vertAlign val="subscript"/>
        <sz val="9"/>
        <rFont val="Arial"/>
        <family val="2"/>
      </rPr>
      <t>cp</t>
    </r>
  </si>
  <si>
    <r>
      <t>v</t>
    </r>
    <r>
      <rPr>
        <vertAlign val="subscript"/>
        <sz val="9"/>
        <rFont val="Arial"/>
        <family val="2"/>
      </rPr>
      <t>Rd,c</t>
    </r>
  </si>
  <si>
    <t>Cisaillement béton seul</t>
  </si>
  <si>
    <r>
      <t>V</t>
    </r>
    <r>
      <rPr>
        <vertAlign val="subscript"/>
        <sz val="9"/>
        <rFont val="Arial"/>
        <family val="2"/>
      </rPr>
      <t>Rd,c</t>
    </r>
  </si>
  <si>
    <t xml:space="preserve">c </t>
  </si>
  <si>
    <t>effort normal ELU centré</t>
  </si>
  <si>
    <t>x</t>
  </si>
  <si>
    <t>fibre neutre</t>
  </si>
  <si>
    <r>
      <t>E</t>
    </r>
    <r>
      <rPr>
        <vertAlign val="subscript"/>
        <sz val="10"/>
        <rFont val="Arial"/>
        <family val="2"/>
      </rPr>
      <t>cm</t>
    </r>
  </si>
  <si>
    <t>flex(Mor, N, V, b, h, d0, dp0, fck, fcd, fctm, ec1, ecu, euk, fyd, k, cotq, nb, phi)</t>
  </si>
  <si>
    <t>pour EC</t>
  </si>
  <si>
    <t>exposant parabole</t>
  </si>
  <si>
    <t>GPa</t>
  </si>
  <si>
    <t>coef. Sargin</t>
  </si>
  <si>
    <t>sup</t>
  </si>
  <si>
    <t>inf</t>
  </si>
  <si>
    <t>nbre lits</t>
  </si>
  <si>
    <t>nbre cours</t>
  </si>
  <si>
    <t>Armatures transversales</t>
  </si>
  <si>
    <r>
      <t>d</t>
    </r>
    <r>
      <rPr>
        <vertAlign val="subscript"/>
        <sz val="9"/>
        <rFont val="Arial"/>
        <family val="2"/>
      </rPr>
      <t>sup</t>
    </r>
  </si>
  <si>
    <r>
      <t>d</t>
    </r>
    <r>
      <rPr>
        <vertAlign val="subscript"/>
        <sz val="9"/>
        <rFont val="Arial"/>
        <family val="2"/>
      </rPr>
      <t>inf</t>
    </r>
  </si>
  <si>
    <r>
      <t>c</t>
    </r>
    <r>
      <rPr>
        <vertAlign val="subscript"/>
        <sz val="9"/>
        <rFont val="Arial"/>
        <family val="2"/>
      </rPr>
      <t>nom</t>
    </r>
  </si>
  <si>
    <t>hauteur utile moyenne</t>
  </si>
  <si>
    <r>
      <t>espacement des cours de cadres (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0,75d)</t>
    </r>
  </si>
  <si>
    <t>allong.lim. acier</t>
  </si>
  <si>
    <t>coef. acier</t>
  </si>
  <si>
    <t>coef. eff. tr.</t>
  </si>
  <si>
    <t>module d'Young</t>
  </si>
  <si>
    <t>hauteur utile des arm. sup.</t>
  </si>
  <si>
    <t>hauteur utile des arm. inf.</t>
  </si>
  <si>
    <r>
      <t>A</t>
    </r>
    <r>
      <rPr>
        <vertAlign val="subscript"/>
        <sz val="9"/>
        <rFont val="Arial"/>
        <family val="2"/>
      </rPr>
      <t>sw,rqd</t>
    </r>
  </si>
  <si>
    <r>
      <t>tan</t>
    </r>
    <r>
      <rPr>
        <sz val="9"/>
        <rFont val="Symbol"/>
        <family val="1"/>
      </rPr>
      <t>q</t>
    </r>
  </si>
  <si>
    <r>
      <t>A</t>
    </r>
    <r>
      <rPr>
        <vertAlign val="subscript"/>
        <sz val="9"/>
        <rFont val="Arial"/>
        <family val="2"/>
      </rPr>
      <t>sw,prov</t>
    </r>
  </si>
  <si>
    <r>
      <t xml:space="preserve">diam. </t>
    </r>
    <r>
      <rPr>
        <sz val="9"/>
        <rFont val="Arial Unicode MS"/>
        <family val="0"/>
      </rPr>
      <t>Ø</t>
    </r>
  </si>
  <si>
    <t>a</t>
  </si>
  <si>
    <t>b0</t>
  </si>
  <si>
    <t>c</t>
  </si>
  <si>
    <r>
      <t>sin</t>
    </r>
    <r>
      <rPr>
        <sz val="9"/>
        <rFont val="Symbol"/>
        <family val="1"/>
      </rPr>
      <t>q</t>
    </r>
  </si>
  <si>
    <r>
      <t xml:space="preserve">bielle :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b1</t>
    </r>
  </si>
  <si>
    <r>
      <t xml:space="preserve">nœud :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b2</t>
    </r>
  </si>
  <si>
    <t>Contraintes (MPa)</t>
  </si>
  <si>
    <r>
      <t>Cas N &lt; 0 et en particulier &lt; 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.b.h</t>
    </r>
  </si>
  <si>
    <t>Barres longitudinales (2 lits maxi)</t>
  </si>
  <si>
    <t>par paquets espacés de s</t>
  </si>
  <si>
    <r>
      <t>s</t>
    </r>
    <r>
      <rPr>
        <vertAlign val="subscript"/>
        <sz val="9"/>
        <rFont val="Arial"/>
        <family val="2"/>
      </rPr>
      <t>0</t>
    </r>
  </si>
  <si>
    <t>enrobage nominal</t>
  </si>
  <si>
    <t>Armatures longitudinales nécessaires</t>
  </si>
  <si>
    <t>bras de levier (0,9d)</t>
  </si>
  <si>
    <t>cisaillement d'effort tranchant</t>
  </si>
  <si>
    <r>
      <t>A</t>
    </r>
    <r>
      <rPr>
        <vertAlign val="subscript"/>
        <sz val="9"/>
        <rFont val="Arial"/>
        <family val="2"/>
      </rPr>
      <t>sw0,prov</t>
    </r>
  </si>
  <si>
    <t>section nécessaire espacée de s</t>
  </si>
  <si>
    <t>armatures nécessaires par unité de longueur</t>
  </si>
  <si>
    <t>armatures mises en place par unité de longueur</t>
  </si>
  <si>
    <t>£ ?</t>
  </si>
  <si>
    <t>% d'arm.longit.</t>
  </si>
  <si>
    <t>§ 6.2.2 (1)</t>
  </si>
  <si>
    <t>hauteur utile des armatures inférieures</t>
  </si>
  <si>
    <t>nb de brins par cours de cadre</t>
  </si>
  <si>
    <t>épaisseur paroi fictive</t>
  </si>
  <si>
    <t>aire torsion</t>
  </si>
  <si>
    <t>périmètre torsion</t>
  </si>
  <si>
    <r>
      <t>s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/f</t>
    </r>
    <r>
      <rPr>
        <vertAlign val="subscript"/>
        <sz val="9"/>
        <rFont val="Arial"/>
        <family val="2"/>
      </rPr>
      <t>cd</t>
    </r>
  </si>
  <si>
    <r>
      <t>T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/T</t>
    </r>
    <r>
      <rPr>
        <vertAlign val="subscript"/>
        <sz val="9"/>
        <rFont val="Arial"/>
        <family val="2"/>
      </rPr>
      <t>Rd,max</t>
    </r>
  </si>
  <si>
    <r>
      <t>M</t>
    </r>
    <r>
      <rPr>
        <vertAlign val="subscript"/>
        <sz val="9"/>
        <rFont val="Arial"/>
        <family val="2"/>
      </rPr>
      <t>1</t>
    </r>
  </si>
  <si>
    <r>
      <t>e</t>
    </r>
    <r>
      <rPr>
        <vertAlign val="subscript"/>
        <sz val="9"/>
        <rFont val="Arial"/>
        <family val="2"/>
      </rPr>
      <t>s</t>
    </r>
  </si>
  <si>
    <r>
      <t>s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</si>
  <si>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s</t>
    </r>
  </si>
  <si>
    <r>
      <t>M</t>
    </r>
    <r>
      <rPr>
        <vertAlign val="subscript"/>
        <sz val="9"/>
        <rFont val="Arial"/>
        <family val="2"/>
      </rPr>
      <t>Rd</t>
    </r>
  </si>
  <si>
    <r>
      <t>N</t>
    </r>
    <r>
      <rPr>
        <vertAlign val="subscript"/>
        <sz val="9"/>
        <rFont val="Arial"/>
        <family val="2"/>
      </rPr>
      <t>Rd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</si>
  <si>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</si>
  <si>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c2</t>
    </r>
  </si>
  <si>
    <t>Variante pour le cas N &lt; 0 pour les armatures d'effort tranchant,</t>
  </si>
  <si>
    <r>
      <t>mais seule solution pour une contrainte de traction supérieure à f</t>
    </r>
    <r>
      <rPr>
        <b/>
        <vertAlign val="subscript"/>
        <sz val="9"/>
        <rFont val="Arial"/>
        <family val="2"/>
      </rPr>
      <t xml:space="preserve">ctm </t>
    </r>
    <r>
      <rPr>
        <b/>
        <sz val="9"/>
        <rFont val="Arial"/>
        <family val="2"/>
      </rPr>
      <t>et sans torsion</t>
    </r>
  </si>
  <si>
    <r>
      <t>espacement des cadres d'un cours (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0,75d)</t>
    </r>
  </si>
  <si>
    <t>ENTIEREMENT</t>
  </si>
  <si>
    <t>fehb(NEd, MEd, b, h, d, ec1, ecu1, fcd, kc, nc, typ, EY, eud)</t>
  </si>
  <si>
    <t>diagramme PR=1, Sargin=2</t>
  </si>
  <si>
    <t>diag</t>
  </si>
  <si>
    <t>coefficient de Sargin</t>
  </si>
  <si>
    <r>
      <t>e</t>
    </r>
    <r>
      <rPr>
        <vertAlign val="subscript"/>
        <sz val="9"/>
        <rFont val="Arial"/>
        <family val="2"/>
      </rPr>
      <t>ud</t>
    </r>
  </si>
  <si>
    <t>allongement de calcul</t>
  </si>
  <si>
    <t>,</t>
  </si>
  <si>
    <t>partiellement tendu sans acier</t>
  </si>
  <si>
    <t>avec moment, effort normal, effort tranchant et torsion</t>
  </si>
  <si>
    <t>129 - CALCUL ELU DES ARMATURES D'UNE SECTION RECTANGULAIRE</t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</si>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</sst>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00000"/>
    <numFmt numFmtId="181" formatCode="0.0000"/>
    <numFmt numFmtId="182" formatCode="0.00000"/>
    <numFmt numFmtId="183" formatCode="&quot;Vrai&quot;;&quot;Vrai&quot;;&quot;Faux&quot;"/>
    <numFmt numFmtId="184" formatCode="&quot;Actif&quot;;&quot;Actif&quot;;&quot;Inactif&quot;"/>
    <numFmt numFmtId="185" formatCode="[$-40C]dddd\ d\ mmmm\ yyyy"/>
    <numFmt numFmtId="186" formatCode="dd/mm/yy;@"/>
    <numFmt numFmtId="187" formatCode="m/d/yyyy;@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Helv"/>
      <family val="0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Symbol"/>
      <family val="1"/>
    </font>
    <font>
      <b/>
      <sz val="9"/>
      <name val="Tahoma"/>
      <family val="0"/>
    </font>
    <font>
      <sz val="9"/>
      <name val="Arial Narrow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Tahoma"/>
      <family val="0"/>
    </font>
    <font>
      <b/>
      <sz val="9"/>
      <name val="Symbol"/>
      <family val="1"/>
    </font>
    <font>
      <b/>
      <vertAlign val="subscript"/>
      <sz val="9"/>
      <name val="Tahoma"/>
      <family val="2"/>
    </font>
    <font>
      <b/>
      <vertAlign val="superscript"/>
      <sz val="9"/>
      <name val="Tahoma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Unicode MS"/>
      <family val="0"/>
    </font>
    <font>
      <b/>
      <vertAlign val="sub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2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20" borderId="4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5" fillId="23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65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2" fontId="2" fillId="24" borderId="19" xfId="0" applyNumberFormat="1" applyFont="1" applyFill="1" applyBorder="1" applyAlignment="1">
      <alignment horizontal="center"/>
    </xf>
    <xf numFmtId="2" fontId="2" fillId="24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165" fontId="2" fillId="24" borderId="20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2" fillId="4" borderId="27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 horizontal="left"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0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25" xfId="0" applyFont="1" applyBorder="1" applyAlignment="1" quotePrefix="1">
      <alignment horizontal="right"/>
    </xf>
    <xf numFmtId="1" fontId="16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0" borderId="24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2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right"/>
    </xf>
    <xf numFmtId="2" fontId="2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2" fillId="0" borderId="30" xfId="0" applyNumberFormat="1" applyFont="1" applyBorder="1" applyAlignment="1">
      <alignment horizontal="left"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0" xfId="0" applyFont="1" applyAlignment="1">
      <alignment horizontal="left"/>
    </xf>
    <xf numFmtId="186" fontId="0" fillId="0" borderId="0" xfId="0" applyNumberFormat="1" applyAlignment="1">
      <alignment horizontal="right"/>
    </xf>
    <xf numFmtId="0" fontId="0" fillId="0" borderId="24" xfId="0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25" borderId="24" xfId="0" applyFont="1" applyFill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186" fontId="2" fillId="0" borderId="0" xfId="0" applyNumberFormat="1" applyFont="1" applyAlignment="1">
      <alignment horizontal="right"/>
    </xf>
    <xf numFmtId="186" fontId="0" fillId="0" borderId="0" xfId="0" applyNumberFormat="1" applyAlignment="1">
      <alignment horizontal="right"/>
    </xf>
    <xf numFmtId="0" fontId="2" fillId="0" borderId="3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66</xdr:row>
      <xdr:rowOff>57150</xdr:rowOff>
    </xdr:from>
    <xdr:to>
      <xdr:col>13</xdr:col>
      <xdr:colOff>628650</xdr:colOff>
      <xdr:row>74</xdr:row>
      <xdr:rowOff>114300</xdr:rowOff>
    </xdr:to>
    <xdr:pic>
      <xdr:nvPicPr>
        <xdr:cNvPr id="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1220450"/>
          <a:ext cx="3609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89</xdr:row>
      <xdr:rowOff>66675</xdr:rowOff>
    </xdr:from>
    <xdr:to>
      <xdr:col>12</xdr:col>
      <xdr:colOff>152400</xdr:colOff>
      <xdr:row>93</xdr:row>
      <xdr:rowOff>104775</xdr:rowOff>
    </xdr:to>
    <xdr:pic>
      <xdr:nvPicPr>
        <xdr:cNvPr id="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5125700"/>
          <a:ext cx="1838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94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9.421875" style="21" customWidth="1"/>
    <col min="2" max="2" width="7.7109375" style="21" customWidth="1"/>
    <col min="3" max="3" width="7.8515625" style="21" customWidth="1"/>
    <col min="4" max="4" width="7.421875" style="21" customWidth="1"/>
    <col min="5" max="5" width="5.28125" style="21" customWidth="1"/>
    <col min="6" max="6" width="7.421875" style="21" customWidth="1"/>
    <col min="7" max="7" width="9.421875" style="22" customWidth="1"/>
    <col min="8" max="8" width="5.28125" style="23" customWidth="1"/>
    <col min="9" max="9" width="6.8515625" style="24" customWidth="1"/>
    <col min="10" max="10" width="6.28125" style="21" customWidth="1"/>
    <col min="11" max="12" width="7.7109375" style="21" customWidth="1"/>
    <col min="13" max="13" width="7.421875" style="21" customWidth="1"/>
    <col min="14" max="18" width="9.8515625" style="21" customWidth="1"/>
    <col min="19" max="19" width="6.28125" style="21" customWidth="1"/>
    <col min="20" max="20" width="11.421875" style="21" customWidth="1"/>
    <col min="21" max="21" width="7.28125" style="21" customWidth="1"/>
    <col min="22" max="30" width="6.8515625" style="21" customWidth="1"/>
    <col min="31" max="31" width="9.8515625" style="21" customWidth="1"/>
    <col min="32" max="32" width="7.28125" style="21" customWidth="1"/>
    <col min="33" max="33" width="9.8515625" style="21" customWidth="1"/>
    <col min="34" max="16384" width="11.421875" style="21" customWidth="1"/>
  </cols>
  <sheetData>
    <row r="1" spans="2:9" ht="12.75" thickBot="1">
      <c r="B1" s="152" t="s">
        <v>236</v>
      </c>
      <c r="C1" s="152"/>
      <c r="D1" s="152"/>
      <c r="E1" s="152"/>
      <c r="F1" s="152"/>
      <c r="G1" s="152"/>
      <c r="H1" s="152"/>
      <c r="I1" s="152"/>
    </row>
    <row r="2" spans="1:32" ht="13.5">
      <c r="A2" s="20" t="s">
        <v>235</v>
      </c>
      <c r="M2" s="150"/>
      <c r="N2" s="151"/>
      <c r="O2" s="133"/>
      <c r="P2" s="133"/>
      <c r="Q2" s="133"/>
      <c r="R2" s="133"/>
      <c r="AE2" s="24" t="s">
        <v>192</v>
      </c>
      <c r="AF2" s="23"/>
    </row>
    <row r="3" spans="1:32" ht="12">
      <c r="A3" s="21" t="s">
        <v>234</v>
      </c>
      <c r="K3" s="78" t="s">
        <v>54</v>
      </c>
      <c r="U3" s="48">
        <v>1</v>
      </c>
      <c r="V3" s="88" t="s">
        <v>81</v>
      </c>
      <c r="W3" s="88"/>
      <c r="X3" s="49"/>
      <c r="Z3" s="67">
        <f>macf(Z9,16)</f>
        <v>0</v>
      </c>
      <c r="AA3" s="21" t="s">
        <v>225</v>
      </c>
      <c r="AE3" s="110" t="s">
        <v>27</v>
      </c>
      <c r="AF3" s="28">
        <f>ATAN(B83)</f>
        <v>0.8829968765854308</v>
      </c>
    </row>
    <row r="4" spans="1:38" ht="12.75">
      <c r="A4" s="25"/>
      <c r="K4" s="78" t="s">
        <v>55</v>
      </c>
      <c r="L4"/>
      <c r="U4" s="50">
        <v>2</v>
      </c>
      <c r="V4" s="40" t="s">
        <v>82</v>
      </c>
      <c r="W4" s="40"/>
      <c r="X4" s="51"/>
      <c r="AE4" s="109" t="s">
        <v>188</v>
      </c>
      <c r="AF4" s="35">
        <f>SIN(AF3)</f>
        <v>0.7726448782820526</v>
      </c>
      <c r="AI4" s="22" t="s">
        <v>228</v>
      </c>
      <c r="AJ4" s="32">
        <v>1</v>
      </c>
      <c r="AL4" s="21" t="s">
        <v>227</v>
      </c>
    </row>
    <row r="5" spans="7:39" ht="13.5">
      <c r="G5"/>
      <c r="H5"/>
      <c r="I5"/>
      <c r="K5" s="78" t="s">
        <v>56</v>
      </c>
      <c r="L5" s="64"/>
      <c r="U5" s="52">
        <v>3</v>
      </c>
      <c r="V5" s="89" t="s">
        <v>83</v>
      </c>
      <c r="W5" s="89"/>
      <c r="X5" s="53"/>
      <c r="Y5" s="18" t="s">
        <v>118</v>
      </c>
      <c r="Z5" s="70">
        <f>I25/(I25+B16/200/B18)</f>
        <v>0.6168582375478926</v>
      </c>
      <c r="AE5" s="105" t="s">
        <v>185</v>
      </c>
      <c r="AF5" s="27">
        <f>(2*B73+1)*B21</f>
        <v>156</v>
      </c>
      <c r="AG5" s="28">
        <f>AF5</f>
        <v>156</v>
      </c>
      <c r="AI5" s="22" t="s">
        <v>44</v>
      </c>
      <c r="AJ5" s="45">
        <f>VLOOKUP(B15,tabfck,9)</f>
        <v>3.4177500000000007</v>
      </c>
      <c r="AL5" s="21" t="s">
        <v>229</v>
      </c>
      <c r="AM5" s="30"/>
    </row>
    <row r="6" spans="1:33" ht="14.25" thickBot="1">
      <c r="A6" s="1" t="s">
        <v>12</v>
      </c>
      <c r="G6"/>
      <c r="H6"/>
      <c r="I6"/>
      <c r="K6" s="78" t="s">
        <v>57</v>
      </c>
      <c r="L6" s="22"/>
      <c r="M6" s="102"/>
      <c r="N6" s="147"/>
      <c r="O6" s="147"/>
      <c r="P6" s="147"/>
      <c r="Q6" s="147"/>
      <c r="R6" s="102"/>
      <c r="Y6" s="18" t="s">
        <v>119</v>
      </c>
      <c r="Z6" s="69">
        <f>0.8*Z5*(1-0.4*Z5)</f>
        <v>0.37172208276449253</v>
      </c>
      <c r="AE6" s="106" t="s">
        <v>186</v>
      </c>
      <c r="AF6" s="107">
        <f>B70*B71+2*B70</f>
        <v>30</v>
      </c>
      <c r="AG6" s="108">
        <f>C70*C71+2*C70</f>
        <v>48</v>
      </c>
    </row>
    <row r="7" spans="1:33" ht="14.25" thickTop="1">
      <c r="A7" s="22" t="s">
        <v>61</v>
      </c>
      <c r="B7" s="79">
        <v>0.1</v>
      </c>
      <c r="C7" s="24" t="s">
        <v>31</v>
      </c>
      <c r="D7" s="21" t="s">
        <v>138</v>
      </c>
      <c r="K7" s="78" t="s">
        <v>58</v>
      </c>
      <c r="N7" s="30"/>
      <c r="O7" s="30"/>
      <c r="P7" s="30"/>
      <c r="Q7" s="30"/>
      <c r="U7" s="26" t="s">
        <v>36</v>
      </c>
      <c r="V7" s="27">
        <v>1.05</v>
      </c>
      <c r="W7" s="28">
        <v>25</v>
      </c>
      <c r="Z7" s="24" t="s">
        <v>105</v>
      </c>
      <c r="AE7" s="109" t="s">
        <v>187</v>
      </c>
      <c r="AF7" s="34">
        <f>(AF5*B83+AF6)/SQRT(1+B83^2)</f>
        <v>139.57775532636745</v>
      </c>
      <c r="AG7" s="35">
        <f>(AG5*B83+AG6)/SQRT(1+B83^2)</f>
        <v>151.00484791498778</v>
      </c>
    </row>
    <row r="8" spans="1:35" ht="13.5">
      <c r="A8" s="22" t="s">
        <v>62</v>
      </c>
      <c r="B8" s="32">
        <v>-0.1</v>
      </c>
      <c r="C8" s="24" t="s">
        <v>15</v>
      </c>
      <c r="D8" s="21" t="s">
        <v>156</v>
      </c>
      <c r="G8" s="55"/>
      <c r="N8" s="30"/>
      <c r="O8" s="30"/>
      <c r="P8" s="30"/>
      <c r="Q8" s="30"/>
      <c r="R8" s="112"/>
      <c r="U8" s="29" t="s">
        <v>66</v>
      </c>
      <c r="V8" s="30">
        <v>1.08</v>
      </c>
      <c r="W8" s="31">
        <v>50</v>
      </c>
      <c r="Z8" s="67">
        <f>macf(Z$9,1)</f>
        <v>2</v>
      </c>
      <c r="AB8" s="70" t="s">
        <v>161</v>
      </c>
      <c r="AE8" s="64" t="s">
        <v>44</v>
      </c>
      <c r="AF8" s="134">
        <f>VLOOKUP(B$15,tabfck,9)</f>
        <v>3.4177500000000007</v>
      </c>
      <c r="AG8" s="21" t="s">
        <v>164</v>
      </c>
      <c r="AI8" s="76"/>
    </row>
    <row r="9" spans="1:28" ht="13.5">
      <c r="A9" s="22" t="s">
        <v>14</v>
      </c>
      <c r="B9" s="32">
        <v>0.2</v>
      </c>
      <c r="C9" s="24" t="s">
        <v>15</v>
      </c>
      <c r="D9" s="24" t="s">
        <v>63</v>
      </c>
      <c r="N9" s="30"/>
      <c r="O9" s="30"/>
      <c r="P9" s="30"/>
      <c r="Q9" s="30"/>
      <c r="U9" s="33" t="s">
        <v>67</v>
      </c>
      <c r="V9" s="34">
        <v>1.15</v>
      </c>
      <c r="W9" s="35">
        <v>75</v>
      </c>
      <c r="Z9" s="146" t="str">
        <f>flex(B7,B8,B9,B11,B12,B13,B14,B15,I29,I30,I26,I25,I34,I33,I35,B20,B22,B21,I27,B34,I25,AJ5,AJ4,I32)</f>
        <v> 200000000 1 142933440 2000000000000000000000000 454140786 3000000000000 540103478 1 709184110 0 411178355-1 115723270 2000000000000 839743589 0 277949981-1 833333333 0 477000000 0000000000000000000000000000000000000</v>
      </c>
      <c r="AA9" s="21" t="s">
        <v>106</v>
      </c>
      <c r="AB9" s="103" t="str">
        <f>MN(N,B7,B11,B12,I29,I32,I26,I25,AF8,I27,1,1,AF20)</f>
        <v>-411428568 0 114285712-1000000000000000000000000-100000000 0000000000000000000000000000000000000 189931969 0000000000000000000000000 583783783 0 100000000 0000000000000000000000000000000000000000000000000000000000000000000000000000000000000000000000000000000000000000000000000000000000000000000000000</v>
      </c>
    </row>
    <row r="10" spans="1:32" ht="13.5">
      <c r="A10" s="22" t="s">
        <v>30</v>
      </c>
      <c r="B10" s="32">
        <v>0</v>
      </c>
      <c r="C10" s="24" t="s">
        <v>31</v>
      </c>
      <c r="D10" s="24" t="s">
        <v>64</v>
      </c>
      <c r="N10" s="30"/>
      <c r="O10" s="30"/>
      <c r="P10" s="30"/>
      <c r="Q10" s="30"/>
      <c r="U10" s="21" t="s">
        <v>160</v>
      </c>
      <c r="AF10" s="23"/>
    </row>
    <row r="11" spans="1:32" ht="13.5">
      <c r="A11" s="22" t="s">
        <v>0</v>
      </c>
      <c r="B11" s="32">
        <v>0.4</v>
      </c>
      <c r="C11" s="24" t="s">
        <v>17</v>
      </c>
      <c r="D11" s="24" t="s">
        <v>32</v>
      </c>
      <c r="N11" s="30"/>
      <c r="O11" s="30"/>
      <c r="P11" s="30"/>
      <c r="Q11" s="30"/>
      <c r="Y11" s="18" t="s">
        <v>140</v>
      </c>
      <c r="Z11" s="93">
        <f>ROUND(0.6*(1-B9/250)*I29,2)</f>
        <v>9.99</v>
      </c>
      <c r="AE11" s="23"/>
      <c r="AF11" s="23"/>
    </row>
    <row r="12" spans="1:32" ht="13.5">
      <c r="A12" s="22" t="s">
        <v>1</v>
      </c>
      <c r="B12" s="32">
        <v>0.6</v>
      </c>
      <c r="C12" s="24" t="s">
        <v>17</v>
      </c>
      <c r="D12" s="24" t="s">
        <v>45</v>
      </c>
      <c r="F12" s="23"/>
      <c r="G12"/>
      <c r="N12" s="30"/>
      <c r="O12" s="30"/>
      <c r="P12" s="30"/>
      <c r="Q12" s="30"/>
      <c r="Y12" s="18" t="s">
        <v>141</v>
      </c>
      <c r="Z12" s="94">
        <f>ROUND(0.75*(1-B15/250)*I29,2)</f>
        <v>11.25</v>
      </c>
      <c r="AE12" s="23"/>
      <c r="AF12" s="23"/>
    </row>
    <row r="13" spans="1:33" ht="13.5">
      <c r="A13" s="22" t="s">
        <v>21</v>
      </c>
      <c r="B13" s="32">
        <v>0.53</v>
      </c>
      <c r="C13" s="24" t="s">
        <v>17</v>
      </c>
      <c r="D13" s="24" t="s">
        <v>207</v>
      </c>
      <c r="E13" s="23"/>
      <c r="F13" s="23"/>
      <c r="G13"/>
      <c r="J13" s="82"/>
      <c r="K13" s="83" t="s">
        <v>127</v>
      </c>
      <c r="L13" s="49"/>
      <c r="M13" s="23"/>
      <c r="N13" s="30"/>
      <c r="O13" s="30"/>
      <c r="P13" s="30"/>
      <c r="Q13" s="30"/>
      <c r="AE13" s="105" t="s">
        <v>214</v>
      </c>
      <c r="AF13" s="27">
        <f>B7+N*(B13-B12/2)</f>
        <v>0.077</v>
      </c>
      <c r="AG13" s="49" t="s">
        <v>31</v>
      </c>
    </row>
    <row r="14" spans="1:33" ht="12.75">
      <c r="A14" s="22" t="s">
        <v>95</v>
      </c>
      <c r="B14" s="32">
        <v>0.07</v>
      </c>
      <c r="C14" s="24" t="s">
        <v>17</v>
      </c>
      <c r="D14" s="54" t="s">
        <v>96</v>
      </c>
      <c r="E14" s="23"/>
      <c r="G14"/>
      <c r="J14" s="84"/>
      <c r="K14" s="85" t="str">
        <f>IF(Z8=2,"PARTIELLEMENT","ENTIEREMENT")</f>
        <v>PARTIELLEMENT</v>
      </c>
      <c r="L14" s="51"/>
      <c r="N14" s="30"/>
      <c r="O14" s="30"/>
      <c r="P14" s="30"/>
      <c r="Q14" s="30"/>
      <c r="U14" s="2" t="s">
        <v>3</v>
      </c>
      <c r="V14" s="3"/>
      <c r="W14" s="3"/>
      <c r="X14" s="3"/>
      <c r="Y14" s="3"/>
      <c r="Z14" s="3"/>
      <c r="AA14" s="3"/>
      <c r="AB14" s="3"/>
      <c r="AC14" s="3"/>
      <c r="AE14" s="141" t="s">
        <v>17</v>
      </c>
      <c r="AF14" s="30">
        <f>AF13/B11/B13/B13/I29</f>
        <v>0.04111783552865787</v>
      </c>
      <c r="AG14" s="51"/>
    </row>
    <row r="15" spans="1:33" ht="13.5">
      <c r="A15" s="22" t="s">
        <v>23</v>
      </c>
      <c r="B15" s="32">
        <v>25</v>
      </c>
      <c r="C15" s="24" t="s">
        <v>19</v>
      </c>
      <c r="D15" s="24" t="s">
        <v>33</v>
      </c>
      <c r="E15" s="23"/>
      <c r="F15" s="23"/>
      <c r="G15"/>
      <c r="J15" s="86"/>
      <c r="K15" s="87" t="str">
        <f>IF(Z8=1,"COMPRIMEE","TENDUE")</f>
        <v>TENDUE</v>
      </c>
      <c r="L15" s="53"/>
      <c r="N15" s="30"/>
      <c r="O15" s="30"/>
      <c r="P15" s="30"/>
      <c r="Q15" s="30"/>
      <c r="U15" s="4">
        <v>1</v>
      </c>
      <c r="V15" s="5">
        <v>2</v>
      </c>
      <c r="W15" s="5">
        <v>3</v>
      </c>
      <c r="X15" s="5">
        <v>4</v>
      </c>
      <c r="Y15" s="5">
        <v>5</v>
      </c>
      <c r="Z15" s="5">
        <v>6</v>
      </c>
      <c r="AA15" s="5">
        <v>7</v>
      </c>
      <c r="AB15" s="5">
        <v>8</v>
      </c>
      <c r="AC15" s="6">
        <v>9</v>
      </c>
      <c r="AE15" s="141" t="s">
        <v>157</v>
      </c>
      <c r="AF15" s="30">
        <f>IF(AF14&lt;Z6,1.25*(1-SQRT(1-2*AF14)),0)</f>
        <v>0.0524997853975373</v>
      </c>
      <c r="AG15" s="51"/>
    </row>
    <row r="16" spans="1:33" ht="13.5">
      <c r="A16" s="22" t="s">
        <v>24</v>
      </c>
      <c r="B16" s="32">
        <v>500</v>
      </c>
      <c r="C16" s="24" t="s">
        <v>19</v>
      </c>
      <c r="D16" s="24" t="s">
        <v>34</v>
      </c>
      <c r="H16"/>
      <c r="I16"/>
      <c r="J16"/>
      <c r="K16"/>
      <c r="L16"/>
      <c r="N16" s="30"/>
      <c r="O16" s="30"/>
      <c r="P16" s="30"/>
      <c r="Q16" s="30"/>
      <c r="U16" s="7" t="s">
        <v>2</v>
      </c>
      <c r="V16" s="8" t="s">
        <v>4</v>
      </c>
      <c r="W16" s="8" t="s">
        <v>5</v>
      </c>
      <c r="X16" s="8" t="s">
        <v>6</v>
      </c>
      <c r="Y16" s="8" t="s">
        <v>7</v>
      </c>
      <c r="Z16" s="8" t="s">
        <v>8</v>
      </c>
      <c r="AA16" s="8" t="s">
        <v>9</v>
      </c>
      <c r="AB16" s="8" t="s">
        <v>10</v>
      </c>
      <c r="AC16" s="9" t="s">
        <v>11</v>
      </c>
      <c r="AE16" s="106" t="s">
        <v>157</v>
      </c>
      <c r="AF16" s="30">
        <f>AF15*B13</f>
        <v>0.02782488626069477</v>
      </c>
      <c r="AG16" s="51" t="s">
        <v>17</v>
      </c>
    </row>
    <row r="17" spans="1:33" ht="13.5">
      <c r="A17" s="18" t="s">
        <v>25</v>
      </c>
      <c r="B17" s="32">
        <v>1.5</v>
      </c>
      <c r="C17" s="24"/>
      <c r="D17" s="24" t="s">
        <v>59</v>
      </c>
      <c r="H17"/>
      <c r="I17"/>
      <c r="J17"/>
      <c r="K17"/>
      <c r="L17"/>
      <c r="N17" s="30"/>
      <c r="O17" s="30"/>
      <c r="P17" s="30"/>
      <c r="Q17" s="30"/>
      <c r="U17" s="10">
        <v>12</v>
      </c>
      <c r="V17" s="11">
        <v>1.6</v>
      </c>
      <c r="W17" s="11">
        <v>27</v>
      </c>
      <c r="X17" s="11">
        <v>3.5</v>
      </c>
      <c r="Y17" s="11">
        <v>1.8</v>
      </c>
      <c r="Z17" s="11">
        <v>3.5</v>
      </c>
      <c r="AA17" s="11">
        <v>2</v>
      </c>
      <c r="AB17" s="11">
        <v>2</v>
      </c>
      <c r="AC17" s="12">
        <f aca="true" t="shared" si="0" ref="AC17:AC30">1.05*W17/1.2*Y17/U17*gc</f>
        <v>5.315625000000001</v>
      </c>
      <c r="AE17" s="141" t="s">
        <v>215</v>
      </c>
      <c r="AF17" s="30">
        <f>IF(AF16=0,0,I25*(1-AF15)/AF15)</f>
        <v>63.16693917884435</v>
      </c>
      <c r="AG17" s="137" t="s">
        <v>85</v>
      </c>
    </row>
    <row r="18" spans="1:33" ht="13.5">
      <c r="A18" s="18" t="s">
        <v>26</v>
      </c>
      <c r="B18" s="32">
        <v>1.15</v>
      </c>
      <c r="C18" s="24"/>
      <c r="D18" s="24" t="s">
        <v>60</v>
      </c>
      <c r="H18"/>
      <c r="I18"/>
      <c r="J18"/>
      <c r="K18"/>
      <c r="L18"/>
      <c r="N18" s="30"/>
      <c r="O18" s="30"/>
      <c r="P18" s="30"/>
      <c r="Q18" s="30"/>
      <c r="U18" s="7">
        <v>16</v>
      </c>
      <c r="V18" s="8">
        <v>1.9</v>
      </c>
      <c r="W18" s="8">
        <v>29</v>
      </c>
      <c r="X18" s="8">
        <v>3.5</v>
      </c>
      <c r="Y18" s="8">
        <v>1.9</v>
      </c>
      <c r="Z18" s="8">
        <v>3.5</v>
      </c>
      <c r="AA18" s="8">
        <v>2</v>
      </c>
      <c r="AB18" s="8">
        <v>2</v>
      </c>
      <c r="AC18" s="13">
        <f t="shared" si="0"/>
        <v>4.5199218750000005</v>
      </c>
      <c r="AE18" s="141" t="s">
        <v>216</v>
      </c>
      <c r="AF18" s="142">
        <f>IF(AF17=0,0,sis(AF17,B16,B18,I34,I35))</f>
        <v>454.14078674948246</v>
      </c>
      <c r="AG18" s="51" t="s">
        <v>19</v>
      </c>
    </row>
    <row r="19" spans="2:33" ht="12.75">
      <c r="B19" s="32" t="s">
        <v>36</v>
      </c>
      <c r="D19" s="24" t="s">
        <v>65</v>
      </c>
      <c r="H19"/>
      <c r="I19"/>
      <c r="J19"/>
      <c r="K19"/>
      <c r="L19"/>
      <c r="N19" s="30"/>
      <c r="O19" s="30"/>
      <c r="P19" s="30"/>
      <c r="Q19" s="30"/>
      <c r="U19" s="7">
        <v>20</v>
      </c>
      <c r="V19" s="8">
        <v>2.2</v>
      </c>
      <c r="W19" s="8">
        <v>30</v>
      </c>
      <c r="X19" s="8">
        <v>3.5</v>
      </c>
      <c r="Y19" s="8">
        <v>2</v>
      </c>
      <c r="Z19" s="8">
        <v>3.5</v>
      </c>
      <c r="AA19" s="8">
        <v>2</v>
      </c>
      <c r="AB19" s="8">
        <v>2</v>
      </c>
      <c r="AC19" s="13">
        <f t="shared" si="0"/>
        <v>3.9375</v>
      </c>
      <c r="AE19" s="106" t="s">
        <v>16</v>
      </c>
      <c r="AF19" s="30">
        <f>B13*(1-0.4*AF15)</f>
        <v>0.5188700454957221</v>
      </c>
      <c r="AG19" s="51" t="s">
        <v>19</v>
      </c>
    </row>
    <row r="20" spans="1:33" ht="13.5">
      <c r="A20" s="22" t="s">
        <v>68</v>
      </c>
      <c r="B20" s="32">
        <v>1</v>
      </c>
      <c r="D20" s="24" t="s">
        <v>35</v>
      </c>
      <c r="H20"/>
      <c r="I20"/>
      <c r="J20"/>
      <c r="K20"/>
      <c r="L20"/>
      <c r="N20" s="30"/>
      <c r="O20" s="30"/>
      <c r="P20" s="30"/>
      <c r="Q20" s="30"/>
      <c r="U20" s="7">
        <v>25</v>
      </c>
      <c r="V20" s="8">
        <v>2.6</v>
      </c>
      <c r="W20" s="8">
        <v>31</v>
      </c>
      <c r="X20" s="8">
        <v>3.5</v>
      </c>
      <c r="Y20" s="8">
        <v>2.1</v>
      </c>
      <c r="Z20" s="8">
        <v>3.5</v>
      </c>
      <c r="AA20" s="8">
        <v>2</v>
      </c>
      <c r="AB20" s="8">
        <v>2</v>
      </c>
      <c r="AC20" s="13">
        <f t="shared" si="0"/>
        <v>3.4177500000000007</v>
      </c>
      <c r="AE20" s="109" t="s">
        <v>217</v>
      </c>
      <c r="AF20" s="143">
        <f>IF(AF18=0,1000,(AF13/AF19-N)/AF18*10000)</f>
        <v>5.469656120699784</v>
      </c>
      <c r="AG20" s="53" t="s">
        <v>13</v>
      </c>
    </row>
    <row r="21" spans="1:32" ht="12.75">
      <c r="A21" s="64" t="s">
        <v>100</v>
      </c>
      <c r="B21" s="95">
        <v>12</v>
      </c>
      <c r="C21" s="63" t="s">
        <v>29</v>
      </c>
      <c r="D21" s="90" t="s">
        <v>137</v>
      </c>
      <c r="H21"/>
      <c r="I21"/>
      <c r="J21"/>
      <c r="K21"/>
      <c r="L21"/>
      <c r="N21" s="30"/>
      <c r="O21" s="30"/>
      <c r="P21" s="30"/>
      <c r="Q21" s="30"/>
      <c r="U21" s="7">
        <v>30</v>
      </c>
      <c r="V21" s="8">
        <v>2.9</v>
      </c>
      <c r="W21" s="8">
        <v>33</v>
      </c>
      <c r="X21" s="8">
        <v>3.5</v>
      </c>
      <c r="Y21" s="8">
        <v>2.2</v>
      </c>
      <c r="Z21" s="8">
        <v>3.5</v>
      </c>
      <c r="AA21" s="8">
        <v>2</v>
      </c>
      <c r="AB21" s="8">
        <v>2</v>
      </c>
      <c r="AC21" s="13">
        <f t="shared" si="0"/>
        <v>3.1762500000000005</v>
      </c>
      <c r="AE21" s="22"/>
      <c r="AF21" s="23"/>
    </row>
    <row r="22" spans="1:32" ht="13.5" thickBot="1">
      <c r="A22" s="64" t="s">
        <v>101</v>
      </c>
      <c r="B22" s="96">
        <v>5</v>
      </c>
      <c r="C22" s="63"/>
      <c r="D22" s="63" t="s">
        <v>208</v>
      </c>
      <c r="H22" s="1" t="s">
        <v>125</v>
      </c>
      <c r="I22"/>
      <c r="J22"/>
      <c r="N22" s="30"/>
      <c r="O22" s="30"/>
      <c r="P22" s="30"/>
      <c r="Q22" s="30"/>
      <c r="U22" s="14">
        <v>35</v>
      </c>
      <c r="V22" s="8">
        <v>3.2</v>
      </c>
      <c r="W22" s="8">
        <v>34</v>
      </c>
      <c r="X22" s="8">
        <v>3.5</v>
      </c>
      <c r="Y22" s="8">
        <v>2.25</v>
      </c>
      <c r="Z22" s="8">
        <v>3.5</v>
      </c>
      <c r="AA22" s="8">
        <v>2</v>
      </c>
      <c r="AB22" s="8">
        <v>2</v>
      </c>
      <c r="AC22" s="13">
        <f t="shared" si="0"/>
        <v>2.8687500000000004</v>
      </c>
      <c r="AE22" s="22"/>
      <c r="AF22" s="23"/>
    </row>
    <row r="23" spans="8:33" ht="14.25" thickTop="1">
      <c r="H23" s="22" t="s">
        <v>157</v>
      </c>
      <c r="I23" s="98">
        <f>IF(Z8&gt;1,macf(Z9,13),macf(AB9,12))</f>
        <v>0.027794998</v>
      </c>
      <c r="J23" s="24" t="s">
        <v>17</v>
      </c>
      <c r="K23" s="21" t="s">
        <v>158</v>
      </c>
      <c r="N23" s="30"/>
      <c r="O23" s="30"/>
      <c r="P23" s="30"/>
      <c r="Q23" s="30"/>
      <c r="U23" s="14">
        <v>40</v>
      </c>
      <c r="V23" s="8">
        <v>3.5</v>
      </c>
      <c r="W23" s="8">
        <v>35</v>
      </c>
      <c r="X23" s="8">
        <v>3.5</v>
      </c>
      <c r="Y23" s="8">
        <v>2.3</v>
      </c>
      <c r="Z23" s="8">
        <v>3.5</v>
      </c>
      <c r="AA23" s="8">
        <v>2</v>
      </c>
      <c r="AB23" s="8">
        <v>2</v>
      </c>
      <c r="AC23" s="13">
        <f t="shared" si="0"/>
        <v>2.64140625</v>
      </c>
      <c r="AD23" s="48">
        <v>1</v>
      </c>
      <c r="AE23" s="135" t="s">
        <v>220</v>
      </c>
      <c r="AF23" s="27">
        <f aca="true" t="shared" si="1" ref="AF23:AF29">macf(AB$9,AD23)</f>
        <v>-0.41142856</v>
      </c>
      <c r="AG23" s="136" t="s">
        <v>85</v>
      </c>
    </row>
    <row r="24" spans="1:33" ht="13.5">
      <c r="A24" s="20" t="s">
        <v>197</v>
      </c>
      <c r="H24" s="22" t="s">
        <v>107</v>
      </c>
      <c r="I24" s="101">
        <f>IF(B8=0,"",B7/B8/B12)</f>
        <v>-1.6666666666666667</v>
      </c>
      <c r="K24" s="24" t="s">
        <v>110</v>
      </c>
      <c r="L24" s="100"/>
      <c r="N24" s="30"/>
      <c r="O24" s="30"/>
      <c r="P24" s="30"/>
      <c r="Q24" s="30"/>
      <c r="U24" s="7">
        <v>45</v>
      </c>
      <c r="V24" s="8">
        <v>3.8</v>
      </c>
      <c r="W24" s="8">
        <v>36</v>
      </c>
      <c r="X24" s="8">
        <v>3.5</v>
      </c>
      <c r="Y24" s="8">
        <v>2.4</v>
      </c>
      <c r="Z24" s="8">
        <v>3.5</v>
      </c>
      <c r="AA24" s="8">
        <v>2</v>
      </c>
      <c r="AB24" s="8">
        <v>2</v>
      </c>
      <c r="AC24" s="13">
        <f t="shared" si="0"/>
        <v>2.5200000000000005</v>
      </c>
      <c r="AD24" s="50">
        <v>2</v>
      </c>
      <c r="AE24" s="19" t="s">
        <v>221</v>
      </c>
      <c r="AF24" s="30">
        <f t="shared" si="1"/>
        <v>0.011428571</v>
      </c>
      <c r="AG24" s="137" t="s">
        <v>85</v>
      </c>
    </row>
    <row r="25" spans="2:33" ht="13.5">
      <c r="B25" s="56" t="s">
        <v>88</v>
      </c>
      <c r="C25" s="67" t="s">
        <v>87</v>
      </c>
      <c r="D25" s="57" t="s">
        <v>86</v>
      </c>
      <c r="H25" s="18" t="s">
        <v>103</v>
      </c>
      <c r="I25" s="41">
        <f>IF(AJ4=1,VLOOKUP(B15,tabfck,6),VLOOKUP(B15,tabfck,4))</f>
        <v>3.5</v>
      </c>
      <c r="J25" s="54" t="s">
        <v>85</v>
      </c>
      <c r="K25" s="21" t="s">
        <v>52</v>
      </c>
      <c r="L25" s="100"/>
      <c r="M25" s="30"/>
      <c r="N25" s="30"/>
      <c r="O25" s="30"/>
      <c r="P25" s="30"/>
      <c r="Q25" s="30"/>
      <c r="U25" s="7">
        <v>50</v>
      </c>
      <c r="V25" s="8">
        <v>4.1</v>
      </c>
      <c r="W25" s="8">
        <v>37</v>
      </c>
      <c r="X25" s="8">
        <v>3.5</v>
      </c>
      <c r="Y25" s="8">
        <v>2.45</v>
      </c>
      <c r="Z25" s="8">
        <v>3.5</v>
      </c>
      <c r="AA25" s="8">
        <v>2</v>
      </c>
      <c r="AB25" s="8">
        <v>2</v>
      </c>
      <c r="AC25" s="13">
        <f t="shared" si="0"/>
        <v>2.3795625</v>
      </c>
      <c r="AD25" s="50">
        <v>3</v>
      </c>
      <c r="AE25" s="138" t="s">
        <v>218</v>
      </c>
      <c r="AF25" s="30">
        <f t="shared" si="1"/>
        <v>0</v>
      </c>
      <c r="AG25" s="51" t="s">
        <v>31</v>
      </c>
    </row>
    <row r="26" spans="1:33" ht="13.5">
      <c r="A26" s="18" t="s">
        <v>89</v>
      </c>
      <c r="B26" s="91">
        <f>IF(Z8=1,macf(AB$9,8),"")</f>
      </c>
      <c r="C26" s="38">
        <f>IF(Z8=2,macf(Z$9,2),"")</f>
        <v>14.293344</v>
      </c>
      <c r="D26" s="60"/>
      <c r="E26" s="21" t="s">
        <v>19</v>
      </c>
      <c r="F26" s="24" t="s">
        <v>128</v>
      </c>
      <c r="H26" s="18" t="s">
        <v>104</v>
      </c>
      <c r="I26" s="41">
        <f>IF(AJ4=1,VLOOKUP(B15,tabfck,7),VLOOKUP(B15,tabfck,5))</f>
        <v>2</v>
      </c>
      <c r="J26" s="54" t="s">
        <v>85</v>
      </c>
      <c r="K26" s="21" t="s">
        <v>53</v>
      </c>
      <c r="L26" s="76"/>
      <c r="M26" s="30"/>
      <c r="N26" s="30"/>
      <c r="O26" s="30"/>
      <c r="P26" s="30"/>
      <c r="Q26" s="30"/>
      <c r="R26" s="30"/>
      <c r="U26" s="7">
        <v>55</v>
      </c>
      <c r="V26" s="8">
        <v>4.2</v>
      </c>
      <c r="W26" s="8">
        <v>38</v>
      </c>
      <c r="X26" s="8">
        <v>3.2</v>
      </c>
      <c r="Y26" s="8">
        <v>2.5</v>
      </c>
      <c r="Z26" s="8">
        <v>3.1</v>
      </c>
      <c r="AA26" s="8">
        <v>2.2</v>
      </c>
      <c r="AB26" s="8">
        <v>1.75</v>
      </c>
      <c r="AC26" s="13">
        <f t="shared" si="0"/>
        <v>2.2670454545454546</v>
      </c>
      <c r="AD26" s="50">
        <v>4</v>
      </c>
      <c r="AE26" s="138" t="s">
        <v>219</v>
      </c>
      <c r="AF26" s="30">
        <f t="shared" si="1"/>
        <v>0</v>
      </c>
      <c r="AG26" s="51" t="s">
        <v>15</v>
      </c>
    </row>
    <row r="27" spans="1:33" ht="13.5">
      <c r="A27" s="18" t="s">
        <v>90</v>
      </c>
      <c r="B27" s="45">
        <f>IF(Z8=1,macf(AB$9,9),"")</f>
      </c>
      <c r="C27" s="61"/>
      <c r="D27" s="61"/>
      <c r="E27" s="21" t="s">
        <v>19</v>
      </c>
      <c r="F27" s="24" t="s">
        <v>129</v>
      </c>
      <c r="H27" s="22" t="s">
        <v>10</v>
      </c>
      <c r="I27" s="65">
        <f>VLOOKUP(B$15,tabfck,8)</f>
        <v>2</v>
      </c>
      <c r="K27" s="21" t="s">
        <v>162</v>
      </c>
      <c r="L27" s="76"/>
      <c r="M27" s="30"/>
      <c r="N27" s="30"/>
      <c r="O27" s="30"/>
      <c r="P27" s="30"/>
      <c r="Q27" s="30"/>
      <c r="R27" s="30"/>
      <c r="U27" s="7">
        <v>60</v>
      </c>
      <c r="V27" s="8">
        <v>4.4</v>
      </c>
      <c r="W27" s="8">
        <v>39</v>
      </c>
      <c r="X27" s="8">
        <v>3</v>
      </c>
      <c r="Y27" s="8">
        <v>2.6</v>
      </c>
      <c r="Z27" s="8">
        <v>2.9</v>
      </c>
      <c r="AA27" s="8">
        <v>2.3</v>
      </c>
      <c r="AB27" s="8">
        <v>1.6</v>
      </c>
      <c r="AC27" s="13">
        <f t="shared" si="0"/>
        <v>2.2181250000000006</v>
      </c>
      <c r="AD27" s="50">
        <v>8</v>
      </c>
      <c r="AE27" s="19" t="s">
        <v>89</v>
      </c>
      <c r="AF27" s="144">
        <f t="shared" si="1"/>
        <v>0</v>
      </c>
      <c r="AG27" s="139" t="s">
        <v>19</v>
      </c>
    </row>
    <row r="28" spans="1:33" ht="13.5">
      <c r="A28" s="18" t="s">
        <v>91</v>
      </c>
      <c r="B28" s="66"/>
      <c r="C28" s="44">
        <f>IF(Z8=2,macf(Z$9,4),"")</f>
        <v>0</v>
      </c>
      <c r="D28" s="44">
        <f>IF(Z8&lt;3,"",macf(Z9,4))</f>
      </c>
      <c r="E28" s="21" t="s">
        <v>19</v>
      </c>
      <c r="F28" s="24" t="s">
        <v>130</v>
      </c>
      <c r="H28" s="19" t="s">
        <v>27</v>
      </c>
      <c r="I28" s="41">
        <f>ATAN(1/B20)/PI()*180</f>
        <v>45</v>
      </c>
      <c r="J28" s="39" t="s">
        <v>28</v>
      </c>
      <c r="K28" s="40" t="s">
        <v>126</v>
      </c>
      <c r="L28" s="76"/>
      <c r="N28" s="30"/>
      <c r="O28" s="30"/>
      <c r="P28" s="30"/>
      <c r="Q28" s="30"/>
      <c r="R28" s="30"/>
      <c r="U28" s="7">
        <v>70</v>
      </c>
      <c r="V28" s="8">
        <v>4.6</v>
      </c>
      <c r="W28" s="8">
        <v>41</v>
      </c>
      <c r="X28" s="8">
        <v>2.8</v>
      </c>
      <c r="Y28" s="8">
        <v>2.7</v>
      </c>
      <c r="Z28" s="8">
        <v>2.7</v>
      </c>
      <c r="AA28" s="8">
        <v>2.4</v>
      </c>
      <c r="AB28" s="8">
        <v>1.45</v>
      </c>
      <c r="AC28" s="13">
        <f t="shared" si="0"/>
        <v>2.0756250000000005</v>
      </c>
      <c r="AD28" s="50">
        <v>9</v>
      </c>
      <c r="AE28" s="19" t="s">
        <v>90</v>
      </c>
      <c r="AF28" s="144">
        <f t="shared" si="1"/>
        <v>0.18993196</v>
      </c>
      <c r="AG28" s="51" t="s">
        <v>19</v>
      </c>
    </row>
    <row r="29" spans="1:33" ht="13.5">
      <c r="A29" s="18" t="s">
        <v>92</v>
      </c>
      <c r="B29" s="66"/>
      <c r="C29" s="44">
        <f>IF(Z8=2,macf(Z$9,5),"")</f>
        <v>454.14078000000006</v>
      </c>
      <c r="D29" s="44">
        <f>IF(Z8&lt;3,"",macf(Z9,5))</f>
      </c>
      <c r="E29" s="21" t="s">
        <v>19</v>
      </c>
      <c r="F29" s="24" t="s">
        <v>131</v>
      </c>
      <c r="H29" s="37" t="s">
        <v>18</v>
      </c>
      <c r="I29" s="42">
        <f>B15/B17</f>
        <v>16.666666666666668</v>
      </c>
      <c r="J29" s="39" t="s">
        <v>19</v>
      </c>
      <c r="K29" s="40" t="s">
        <v>33</v>
      </c>
      <c r="L29" s="76"/>
      <c r="N29" s="30"/>
      <c r="O29" s="30"/>
      <c r="P29" s="30"/>
      <c r="Q29" s="30"/>
      <c r="R29" s="30"/>
      <c r="U29" s="7">
        <v>80</v>
      </c>
      <c r="V29" s="8">
        <v>4.8</v>
      </c>
      <c r="W29" s="8">
        <v>42</v>
      </c>
      <c r="X29" s="8">
        <v>2.8</v>
      </c>
      <c r="Y29" s="8">
        <v>2.8</v>
      </c>
      <c r="Z29" s="8">
        <v>2.6</v>
      </c>
      <c r="AA29" s="8">
        <v>2.5</v>
      </c>
      <c r="AB29" s="8">
        <v>1.4</v>
      </c>
      <c r="AC29" s="13">
        <f t="shared" si="0"/>
        <v>1.9293749999999998</v>
      </c>
      <c r="AD29" s="52">
        <v>12</v>
      </c>
      <c r="AE29" s="140" t="s">
        <v>157</v>
      </c>
      <c r="AF29" s="145">
        <f t="shared" si="1"/>
        <v>0.58378378</v>
      </c>
      <c r="AG29" s="53" t="s">
        <v>17</v>
      </c>
    </row>
    <row r="30" spans="1:29" ht="13.5">
      <c r="A30" s="37" t="s">
        <v>93</v>
      </c>
      <c r="B30" s="58"/>
      <c r="C30" s="42">
        <f>IF(Z8=2,macf(Z$9,6),"")</f>
        <v>0</v>
      </c>
      <c r="D30" s="42">
        <f>IF(Z8&lt;3,"",macf(Z9,6))</f>
      </c>
      <c r="E30" s="39" t="s">
        <v>13</v>
      </c>
      <c r="F30" s="24" t="s">
        <v>132</v>
      </c>
      <c r="H30" s="37" t="s">
        <v>22</v>
      </c>
      <c r="I30" s="42">
        <f>VLOOKUP(B15,tabfck,2)</f>
        <v>2.6</v>
      </c>
      <c r="J30" s="39" t="s">
        <v>19</v>
      </c>
      <c r="K30" s="43" t="s">
        <v>53</v>
      </c>
      <c r="L30" s="77"/>
      <c r="O30" s="23"/>
      <c r="P30" s="23"/>
      <c r="Q30" s="23"/>
      <c r="R30" s="23"/>
      <c r="U30" s="15">
        <v>90</v>
      </c>
      <c r="V30" s="16">
        <v>5</v>
      </c>
      <c r="W30" s="16">
        <v>44</v>
      </c>
      <c r="X30" s="16">
        <v>2.8</v>
      </c>
      <c r="Y30" s="16">
        <v>2.8</v>
      </c>
      <c r="Z30" s="16">
        <v>2.6</v>
      </c>
      <c r="AA30" s="16">
        <v>2.6</v>
      </c>
      <c r="AB30" s="16">
        <v>1.4</v>
      </c>
      <c r="AC30" s="17">
        <f t="shared" si="0"/>
        <v>1.7966666666666669</v>
      </c>
    </row>
    <row r="31" spans="1:18" ht="13.5">
      <c r="A31" s="37" t="s">
        <v>94</v>
      </c>
      <c r="B31" s="59"/>
      <c r="C31" s="71">
        <f>IF(Z8=2,macf(Z$9,7),"")</f>
        <v>5.401034699999999</v>
      </c>
      <c r="D31" s="71">
        <f>IF(Z8&lt;3,"",macf(Z9,7))</f>
      </c>
      <c r="E31" s="39" t="s">
        <v>13</v>
      </c>
      <c r="F31" s="24" t="s">
        <v>133</v>
      </c>
      <c r="H31" s="37" t="s">
        <v>43</v>
      </c>
      <c r="I31" s="42">
        <f>0.7*I30/B17</f>
        <v>1.2133333333333332</v>
      </c>
      <c r="J31" s="39" t="s">
        <v>19</v>
      </c>
      <c r="K31" s="43" t="s">
        <v>53</v>
      </c>
      <c r="L31" s="30"/>
      <c r="M31" s="30"/>
      <c r="N31" s="30"/>
      <c r="O31" s="30"/>
      <c r="P31" s="30"/>
      <c r="Q31" s="30"/>
      <c r="R31" s="30"/>
    </row>
    <row r="32" spans="8:24" ht="15.75">
      <c r="H32" s="64" t="s">
        <v>159</v>
      </c>
      <c r="I32" s="65">
        <f>VLOOKUP(B$15,tabfck,3)</f>
        <v>31</v>
      </c>
      <c r="J32" s="21" t="s">
        <v>163</v>
      </c>
      <c r="K32" s="21" t="s">
        <v>178</v>
      </c>
      <c r="L32" s="30"/>
      <c r="M32" s="30"/>
      <c r="N32" s="30"/>
      <c r="O32" s="30"/>
      <c r="P32" s="30"/>
      <c r="Q32" s="30"/>
      <c r="R32" s="30"/>
      <c r="U32" s="22" t="s">
        <v>155</v>
      </c>
      <c r="V32" s="111">
        <f>(B14+B12-B13)/2*1000</f>
        <v>69.99999999999996</v>
      </c>
      <c r="W32" s="21" t="s">
        <v>29</v>
      </c>
      <c r="X32" s="36" t="s">
        <v>39</v>
      </c>
    </row>
    <row r="33" spans="1:18" ht="13.5">
      <c r="A33" s="20" t="s">
        <v>46</v>
      </c>
      <c r="B33" s="23"/>
      <c r="C33" s="23"/>
      <c r="D33" s="23"/>
      <c r="H33" s="37" t="s">
        <v>20</v>
      </c>
      <c r="I33" s="44">
        <f>B16/B18</f>
        <v>434.7826086956522</v>
      </c>
      <c r="J33" s="39" t="s">
        <v>19</v>
      </c>
      <c r="K33" s="40" t="s">
        <v>41</v>
      </c>
      <c r="M33" s="30"/>
      <c r="N33" s="30"/>
      <c r="O33" s="30"/>
      <c r="P33" s="30"/>
      <c r="Q33" s="30"/>
      <c r="R33" s="30"/>
    </row>
    <row r="34" spans="1:22" ht="13.5">
      <c r="A34" s="22" t="s">
        <v>74</v>
      </c>
      <c r="B34" s="38">
        <f>MAX(0.0013,0.26*I30/B16)*B11*B13*10000</f>
        <v>2.8662400000000003</v>
      </c>
      <c r="C34" s="39" t="s">
        <v>13</v>
      </c>
      <c r="D34" s="21" t="s">
        <v>41</v>
      </c>
      <c r="F34" s="46"/>
      <c r="H34" s="18" t="s">
        <v>84</v>
      </c>
      <c r="I34" s="41">
        <f>VLOOKUP(B19,tabac,3)</f>
        <v>25</v>
      </c>
      <c r="J34" s="54" t="s">
        <v>85</v>
      </c>
      <c r="K34" s="21" t="s">
        <v>175</v>
      </c>
      <c r="M34" s="30"/>
      <c r="N34" s="30"/>
      <c r="O34" s="30"/>
      <c r="P34" s="30"/>
      <c r="Q34" s="30"/>
      <c r="R34" s="30"/>
      <c r="V34" s="21" t="str">
        <f>"NE S'APPLIQUE PAS ICI CAR N &gt;= 0 ou TORSION NON NULLE"</f>
        <v>NE S'APPLIQUE PAS ICI CAR N &gt;= 0 ou TORSION NON NULLE</v>
      </c>
    </row>
    <row r="35" spans="1:11" ht="13.5">
      <c r="A35" s="22" t="s">
        <v>77</v>
      </c>
      <c r="B35" s="71">
        <f>IF(B62&gt;1,"NON",0.08*SQRT(B15)/B16*B11*10000)</f>
        <v>3.2</v>
      </c>
      <c r="C35" s="39" t="s">
        <v>70</v>
      </c>
      <c r="D35" s="21" t="s">
        <v>40</v>
      </c>
      <c r="H35" s="22" t="s">
        <v>44</v>
      </c>
      <c r="I35" s="41">
        <f>VLOOKUP(B19,tabac,2)</f>
        <v>1.05</v>
      </c>
      <c r="J35" s="24"/>
      <c r="K35" s="21" t="s">
        <v>176</v>
      </c>
    </row>
    <row r="36" spans="6:22" ht="13.5">
      <c r="F36" s="100"/>
      <c r="G36" s="115"/>
      <c r="H36" s="18" t="s">
        <v>230</v>
      </c>
      <c r="I36" s="41">
        <f>0.9*I34</f>
        <v>22.5</v>
      </c>
      <c r="J36" s="54" t="s">
        <v>85</v>
      </c>
      <c r="K36" s="21" t="s">
        <v>231</v>
      </c>
      <c r="L36" s="30"/>
      <c r="V36" s="21" t="s">
        <v>233</v>
      </c>
    </row>
    <row r="37" spans="1:22" ht="12">
      <c r="A37" s="20" t="s">
        <v>108</v>
      </c>
      <c r="H37" s="19" t="s">
        <v>10</v>
      </c>
      <c r="I37" s="41">
        <f>0.6*(1-B15/250)</f>
        <v>0.54</v>
      </c>
      <c r="J37" s="39"/>
      <c r="K37" s="30" t="s">
        <v>177</v>
      </c>
      <c r="L37" s="30"/>
      <c r="V37" s="148" t="s">
        <v>226</v>
      </c>
    </row>
    <row r="38" spans="1:23" ht="13.5">
      <c r="A38" s="37" t="s">
        <v>72</v>
      </c>
      <c r="B38" s="72">
        <f>B9/0.9/B13/fyd/B20*10000</f>
        <v>9.643605870020965</v>
      </c>
      <c r="C38" s="39" t="s">
        <v>70</v>
      </c>
      <c r="D38" s="21" t="s">
        <v>147</v>
      </c>
      <c r="H38" s="80" t="s">
        <v>212</v>
      </c>
      <c r="I38" s="41">
        <f>I46/I29</f>
        <v>-0.024999999999999998</v>
      </c>
      <c r="V38" s="149" t="str">
        <f>fehb(N,B7,B11,B12,B13,I26,I25,I29,AJ5,I27,AJ4,I32,I36)</f>
        <v>000000000000000000000000-933333332-1 119054593 3 470003979-3000000000000000000000000000000000000000000000000000000000000000000000000000000000000</v>
      </c>
      <c r="W38" s="21" t="s">
        <v>232</v>
      </c>
    </row>
    <row r="39" spans="1:12" ht="13.5">
      <c r="A39" s="37" t="s">
        <v>113</v>
      </c>
      <c r="B39" s="45">
        <f>B41*I37*I29*B11*0.9*B13/(B20+1/B20)</f>
        <v>0.7210038377880003</v>
      </c>
      <c r="C39" s="24" t="s">
        <v>15</v>
      </c>
      <c r="D39" s="21" t="s">
        <v>48</v>
      </c>
      <c r="H39" s="37" t="s">
        <v>37</v>
      </c>
      <c r="I39" s="41">
        <f>2*(B11+B12)</f>
        <v>2</v>
      </c>
      <c r="J39" s="39" t="s">
        <v>17</v>
      </c>
      <c r="K39" s="39" t="s">
        <v>38</v>
      </c>
      <c r="L39" s="30"/>
    </row>
    <row r="40" spans="1:20" ht="13.5">
      <c r="A40" s="37" t="s">
        <v>109</v>
      </c>
      <c r="B40" s="45">
        <f>IF(B39=0,"NON",B9/B39)</f>
        <v>0.2773910338862951</v>
      </c>
      <c r="C40" s="21" t="s">
        <v>112</v>
      </c>
      <c r="D40" s="21" t="str">
        <f>IF(B40&lt;1,"OK","KO")</f>
        <v>OK</v>
      </c>
      <c r="H40" s="37" t="s">
        <v>36</v>
      </c>
      <c r="I40" s="41">
        <f>B11*B12</f>
        <v>0.24</v>
      </c>
      <c r="J40" s="39" t="s">
        <v>73</v>
      </c>
      <c r="K40" s="43" t="s">
        <v>47</v>
      </c>
      <c r="L40" s="30"/>
      <c r="M40" s="62"/>
      <c r="T40" s="23"/>
    </row>
    <row r="41" spans="1:13" ht="13.5">
      <c r="A41" s="18" t="s">
        <v>111</v>
      </c>
      <c r="B41" s="114">
        <f>macf(Z9,12)</f>
        <v>0.83974358</v>
      </c>
      <c r="D41" s="46">
        <f>IF(N&lt;0,IF(B41=0,"VOIR PAGE 2 CI-DESSOUS",""),"")</f>
      </c>
      <c r="F41" s="100"/>
      <c r="H41" s="37" t="s">
        <v>75</v>
      </c>
      <c r="I41" s="45">
        <f>MAX(I40/I39,2*V32/1000)</f>
        <v>0.1399999999999999</v>
      </c>
      <c r="J41" s="39" t="s">
        <v>17</v>
      </c>
      <c r="K41" s="21" t="s">
        <v>209</v>
      </c>
      <c r="M41" s="62"/>
    </row>
    <row r="42" spans="1:13" ht="13.5">
      <c r="A42" s="22" t="s">
        <v>68</v>
      </c>
      <c r="B42" s="47">
        <f>B20</f>
        <v>1</v>
      </c>
      <c r="D42" s="21" t="s">
        <v>139</v>
      </c>
      <c r="H42" s="37" t="s">
        <v>76</v>
      </c>
      <c r="I42" s="41">
        <f>(B11-I41)*(B12-I41)</f>
        <v>0.11960000000000008</v>
      </c>
      <c r="J42" s="39" t="s">
        <v>73</v>
      </c>
      <c r="K42" s="21" t="s">
        <v>210</v>
      </c>
      <c r="M42" s="62"/>
    </row>
    <row r="43" spans="8:13" ht="13.5">
      <c r="H43" s="37" t="s">
        <v>78</v>
      </c>
      <c r="I43" s="41">
        <f>2*(B11-I41+B12-I41)</f>
        <v>1.4400000000000004</v>
      </c>
      <c r="J43" s="39" t="s">
        <v>17</v>
      </c>
      <c r="K43" s="21" t="s">
        <v>211</v>
      </c>
      <c r="M43" s="62"/>
    </row>
    <row r="44" spans="1:11" ht="13.5">
      <c r="A44" s="20" t="s">
        <v>114</v>
      </c>
      <c r="D44" s="23"/>
      <c r="H44" s="80" t="s">
        <v>80</v>
      </c>
      <c r="I44" s="42">
        <f>B10/2/I42/I41</f>
        <v>0</v>
      </c>
      <c r="J44" s="24" t="s">
        <v>19</v>
      </c>
      <c r="K44" s="24" t="s">
        <v>50</v>
      </c>
    </row>
    <row r="45" spans="1:22" ht="13.5">
      <c r="A45" s="37" t="s">
        <v>69</v>
      </c>
      <c r="B45" s="73">
        <f>MAX(0,(I43/fyd*B10*B20/2/I42-N/fyd)*10000/I43)</f>
        <v>1.5972222222222219</v>
      </c>
      <c r="C45" s="39" t="s">
        <v>70</v>
      </c>
      <c r="D45" s="21" t="s">
        <v>41</v>
      </c>
      <c r="H45" s="81" t="s">
        <v>16</v>
      </c>
      <c r="I45" s="65">
        <f>0.9*B13</f>
        <v>0.47700000000000004</v>
      </c>
      <c r="J45" s="63" t="s">
        <v>17</v>
      </c>
      <c r="K45" s="63" t="s">
        <v>198</v>
      </c>
      <c r="N45" s="63"/>
      <c r="O45" s="63"/>
      <c r="P45" s="63"/>
      <c r="Q45" s="63"/>
      <c r="R45" s="63"/>
      <c r="S45" s="23"/>
      <c r="U45" s="62"/>
      <c r="V45" s="62"/>
    </row>
    <row r="46" spans="1:19" ht="13.5">
      <c r="A46" s="37" t="s">
        <v>71</v>
      </c>
      <c r="B46" s="75">
        <f>IF(B62&gt;1,"NON",B45*I43)</f>
        <v>2.3000000000000003</v>
      </c>
      <c r="C46" s="39" t="s">
        <v>13</v>
      </c>
      <c r="D46" s="21" t="s">
        <v>135</v>
      </c>
      <c r="H46" s="80" t="s">
        <v>98</v>
      </c>
      <c r="I46" s="65">
        <f>B8/B11/B12</f>
        <v>-0.4166666666666667</v>
      </c>
      <c r="J46" s="63" t="s">
        <v>19</v>
      </c>
      <c r="K46" s="63" t="str">
        <f>IF(I46&gt;0,"compression","traction")</f>
        <v>traction</v>
      </c>
      <c r="L46" s="62"/>
      <c r="S46" s="23"/>
    </row>
    <row r="47" spans="1:19" ht="13.5">
      <c r="A47" s="37" t="s">
        <v>72</v>
      </c>
      <c r="B47" s="75">
        <f>IF(B62&gt;1,"NON",B10/2/I42/B42/I33*10000)</f>
        <v>0</v>
      </c>
      <c r="C47" s="39" t="s">
        <v>70</v>
      </c>
      <c r="D47" s="21" t="s">
        <v>40</v>
      </c>
      <c r="H47" s="80" t="s">
        <v>134</v>
      </c>
      <c r="I47" s="130">
        <f>IF(N&gt;=0,"",I46/I30)</f>
        <v>-0.16025641025641027</v>
      </c>
      <c r="J47" s="63"/>
      <c r="K47" s="63"/>
      <c r="L47" s="62"/>
      <c r="S47" s="23"/>
    </row>
    <row r="48" spans="1:24" ht="13.5">
      <c r="A48" s="37" t="s">
        <v>200</v>
      </c>
      <c r="B48" s="42">
        <f>IF(B10=0,0,(B21/10)^2*PI()/4*2)</f>
        <v>0</v>
      </c>
      <c r="C48" s="39" t="s">
        <v>70</v>
      </c>
      <c r="D48" s="21" t="s">
        <v>142</v>
      </c>
      <c r="E48" s="23"/>
      <c r="H48" s="81" t="s">
        <v>99</v>
      </c>
      <c r="I48" s="131">
        <f>B9/B11/I45</f>
        <v>1.0482180293501047</v>
      </c>
      <c r="J48" s="63" t="s">
        <v>19</v>
      </c>
      <c r="K48" s="63" t="s">
        <v>199</v>
      </c>
      <c r="L48" s="62"/>
      <c r="S48" s="23"/>
      <c r="W48" s="62"/>
      <c r="X48" s="62"/>
    </row>
    <row r="49" spans="1:24" ht="12.75">
      <c r="A49" s="22" t="s">
        <v>102</v>
      </c>
      <c r="B49" s="74">
        <f>IF(B47=0,"",IF(B47="NON","",MIN(I39*1000/8,B48/B47*1000)))</f>
      </c>
      <c r="C49" s="21" t="s">
        <v>143</v>
      </c>
      <c r="D49" s="21" t="s">
        <v>144</v>
      </c>
      <c r="S49" s="23"/>
      <c r="W49" s="62"/>
      <c r="X49" s="62"/>
    </row>
    <row r="50" spans="1:12" ht="13.5">
      <c r="A50" s="37" t="s">
        <v>79</v>
      </c>
      <c r="B50" s="41">
        <f>2*I37*B41*I29*I42*I41/(B20+1/B20)</f>
        <v>0.12654599853168003</v>
      </c>
      <c r="C50" s="39" t="s">
        <v>31</v>
      </c>
      <c r="D50" s="21" t="s">
        <v>49</v>
      </c>
      <c r="L50" s="62"/>
    </row>
    <row r="51" spans="1:4" ht="13.5">
      <c r="A51" s="37" t="s">
        <v>213</v>
      </c>
      <c r="B51" s="92">
        <f>IF(B50=0,0,B10/B50)</f>
        <v>0</v>
      </c>
      <c r="C51" s="21" t="s">
        <v>112</v>
      </c>
      <c r="D51" s="21" t="str">
        <f>IF(B51&lt;1,"OK","KO")</f>
        <v>OK</v>
      </c>
    </row>
    <row r="52" ht="12">
      <c r="F52" s="97" t="s">
        <v>145</v>
      </c>
    </row>
    <row r="53" spans="1:6" ht="12">
      <c r="A53" s="20" t="s">
        <v>115</v>
      </c>
      <c r="F53" s="97" t="s">
        <v>146</v>
      </c>
    </row>
    <row r="54" spans="1:12" ht="13.5">
      <c r="A54" s="37" t="s">
        <v>72</v>
      </c>
      <c r="B54" s="73">
        <f>IF(B41=0,0,MAX(B38+B47,B35))</f>
        <v>9.643605870020965</v>
      </c>
      <c r="C54" s="39" t="s">
        <v>70</v>
      </c>
      <c r="L54" s="23" t="s">
        <v>153</v>
      </c>
    </row>
    <row r="55" spans="1:13" ht="13.5">
      <c r="A55" s="37" t="s">
        <v>97</v>
      </c>
      <c r="B55" s="42">
        <f>(B21/10)^2*PI()/4*B22</f>
        <v>5.654866776461628</v>
      </c>
      <c r="C55" s="39" t="s">
        <v>120</v>
      </c>
      <c r="F55" s="22"/>
      <c r="H55" s="24"/>
      <c r="K55" s="18" t="s">
        <v>148</v>
      </c>
      <c r="L55" s="98">
        <f>MAX(C30,C31,D30,D31)/B11/MAX(B76:B77)/10000</f>
        <v>0.002473001236263736</v>
      </c>
      <c r="M55" s="21" t="s">
        <v>205</v>
      </c>
    </row>
    <row r="56" spans="1:13" ht="12">
      <c r="A56" s="22" t="s">
        <v>102</v>
      </c>
      <c r="B56" s="74">
        <f>IF(B41=0,"NON",B55/B54*1000)</f>
        <v>586.3850983417817</v>
      </c>
      <c r="C56" s="21" t="s">
        <v>122</v>
      </c>
      <c r="H56" s="24"/>
      <c r="K56" s="22" t="s">
        <v>44</v>
      </c>
      <c r="L56" s="45">
        <f>MIN(1+SQRT(0.2/MAX(B76,B77)),2)</f>
        <v>1.6052275326688026</v>
      </c>
      <c r="M56" s="21" t="s">
        <v>206</v>
      </c>
    </row>
    <row r="57" spans="1:13" ht="13.5">
      <c r="A57" s="37" t="s">
        <v>121</v>
      </c>
      <c r="B57" s="74">
        <f>0.75*B13*1000</f>
        <v>397.5</v>
      </c>
      <c r="C57" s="21" t="s">
        <v>123</v>
      </c>
      <c r="K57" s="22" t="s">
        <v>149</v>
      </c>
      <c r="L57" s="45">
        <f>0.18/gc*L56*(100*L55*B15)^(1/3)</f>
        <v>0.35354059909190266</v>
      </c>
      <c r="M57" s="21" t="s">
        <v>19</v>
      </c>
    </row>
    <row r="58" spans="1:18" ht="13.5">
      <c r="A58" s="22" t="s">
        <v>102</v>
      </c>
      <c r="B58" s="104">
        <f>IF(B41=0,"NON",MIN(B56,B57,B49))</f>
        <v>397.5</v>
      </c>
      <c r="C58" s="21" t="s">
        <v>124</v>
      </c>
      <c r="K58" s="22" t="s">
        <v>150</v>
      </c>
      <c r="L58" s="45">
        <f>IF(N58="poutre",0.053/gc*L56^1.5*SQRT(B15),0.34/gc*SQRT(B15))</f>
        <v>0.3593019010304413</v>
      </c>
      <c r="M58" s="21" t="s">
        <v>19</v>
      </c>
      <c r="N58" t="str">
        <f>IF(B11=1,IF(B12&lt;0.5,"dalle","poutre"),"poutre")</f>
        <v>poutre</v>
      </c>
      <c r="O58"/>
      <c r="P58"/>
      <c r="Q58"/>
      <c r="R58"/>
    </row>
    <row r="59" spans="10:13" ht="13.5">
      <c r="J59" s="62"/>
      <c r="K59" s="18" t="s">
        <v>151</v>
      </c>
      <c r="L59" s="45">
        <f>N/B11/B12</f>
        <v>-0.4166666666666667</v>
      </c>
      <c r="M59" s="21" t="s">
        <v>19</v>
      </c>
    </row>
    <row r="60" spans="1:13" ht="13.5">
      <c r="A60" s="20" t="s">
        <v>136</v>
      </c>
      <c r="D60" s="24"/>
      <c r="F60" s="22"/>
      <c r="J60" s="62"/>
      <c r="K60" s="22" t="s">
        <v>152</v>
      </c>
      <c r="L60" s="45">
        <f>MAX(L57,L58)+0.15*L59</f>
        <v>0.2968019010304413</v>
      </c>
      <c r="M60" s="21" t="s">
        <v>19</v>
      </c>
    </row>
    <row r="61" spans="1:13" ht="13.5">
      <c r="A61" s="19" t="s">
        <v>17</v>
      </c>
      <c r="B61" s="91">
        <f>IF(Z8=2,macf(Z9,9),"")</f>
        <v>0.041117835000000005</v>
      </c>
      <c r="C61" s="24" t="str">
        <f>"&lt; "&amp;ROUND(Z6,3)&amp;" ?"</f>
        <v>&lt; 0,372 ?</v>
      </c>
      <c r="D61" s="21" t="str">
        <f>IF(Z8=2,IF(B61&gt;Z6,"KO","OK"),"")</f>
        <v>OK</v>
      </c>
      <c r="E61" s="21" t="s">
        <v>116</v>
      </c>
      <c r="K61" s="22" t="s">
        <v>154</v>
      </c>
      <c r="L61" s="99">
        <f>L60*B11*B76</f>
        <v>0.06482153518504838</v>
      </c>
      <c r="M61" s="21" t="s">
        <v>15</v>
      </c>
    </row>
    <row r="62" spans="1:6" ht="12.75">
      <c r="A62" s="37" t="s">
        <v>42</v>
      </c>
      <c r="B62" s="92">
        <f>IF(B41=0,"NON",B10/B50+B9/B39)</f>
        <v>0.2773910338862951</v>
      </c>
      <c r="C62" s="24" t="s">
        <v>112</v>
      </c>
      <c r="D62" s="21" t="str">
        <f>IF(B62&gt;1,"KO","OK")</f>
        <v>OK</v>
      </c>
      <c r="E62" s="21" t="s">
        <v>117</v>
      </c>
      <c r="F62"/>
    </row>
    <row r="63" ht="12"/>
    <row r="64" ht="12"/>
    <row r="65" spans="1:13" ht="12.75">
      <c r="A65" s="1" t="s">
        <v>222</v>
      </c>
      <c r="B65" s="24"/>
      <c r="K65" s="62"/>
      <c r="L65" s="62"/>
      <c r="M65" s="62"/>
    </row>
    <row r="66" spans="1:13" ht="13.5">
      <c r="A66" s="20" t="s">
        <v>223</v>
      </c>
      <c r="K66" s="62"/>
      <c r="L66" s="62"/>
      <c r="M66" s="62"/>
    </row>
    <row r="67" ht="12">
      <c r="A67" s="132">
        <f>IF(B10&gt;0,V34,IF(N&gt;0,V34,""))</f>
      </c>
    </row>
    <row r="68" spans="1:13" ht="12.75">
      <c r="A68" s="24" t="s">
        <v>193</v>
      </c>
      <c r="B68" s="23"/>
      <c r="K68" s="62"/>
      <c r="L68" s="62"/>
      <c r="M68" s="62"/>
    </row>
    <row r="69" spans="1:22" ht="13.5" thickBot="1">
      <c r="A69" s="23"/>
      <c r="B69" s="23" t="s">
        <v>165</v>
      </c>
      <c r="C69" s="62" t="s">
        <v>166</v>
      </c>
      <c r="K69" s="62"/>
      <c r="L69" s="62"/>
      <c r="M69" s="62"/>
      <c r="T69" s="113"/>
      <c r="V69"/>
    </row>
    <row r="70" spans="1:20" ht="14.25" thickTop="1">
      <c r="A70" s="22" t="s">
        <v>184</v>
      </c>
      <c r="B70" s="124">
        <v>10</v>
      </c>
      <c r="C70" s="125">
        <v>12</v>
      </c>
      <c r="D70" s="21" t="s">
        <v>29</v>
      </c>
      <c r="T70" s="18"/>
    </row>
    <row r="71" spans="1:21" ht="13.5" thickBot="1">
      <c r="A71" s="64" t="s">
        <v>167</v>
      </c>
      <c r="B71" s="126">
        <v>1</v>
      </c>
      <c r="C71" s="127">
        <v>2</v>
      </c>
      <c r="T71" s="22"/>
      <c r="U71"/>
    </row>
    <row r="72" spans="1:22" ht="14.25" thickBot="1" thickTop="1">
      <c r="A72" s="24" t="s">
        <v>169</v>
      </c>
      <c r="C72" s="62"/>
      <c r="T72"/>
      <c r="U72"/>
      <c r="V72"/>
    </row>
    <row r="73" spans="1:22" ht="13.5" thickTop="1">
      <c r="A73" s="22" t="s">
        <v>168</v>
      </c>
      <c r="B73" s="128">
        <v>6</v>
      </c>
      <c r="C73" s="63" t="s">
        <v>194</v>
      </c>
      <c r="T73"/>
      <c r="U73"/>
      <c r="V73"/>
    </row>
    <row r="74" spans="1:22" ht="14.25" thickBot="1">
      <c r="A74" s="22" t="s">
        <v>172</v>
      </c>
      <c r="B74" s="129">
        <v>30</v>
      </c>
      <c r="C74" s="21" t="s">
        <v>29</v>
      </c>
      <c r="D74" s="21" t="s">
        <v>196</v>
      </c>
      <c r="T74"/>
      <c r="U74"/>
      <c r="V74"/>
    </row>
    <row r="75" spans="2:8" ht="13.5" thickTop="1">
      <c r="B75" s="62"/>
      <c r="C75" s="62"/>
      <c r="D75" s="62"/>
      <c r="E75" s="62"/>
      <c r="G75" s="21"/>
      <c r="H75" s="21"/>
    </row>
    <row r="76" spans="1:8" ht="13.5">
      <c r="A76" s="22" t="s">
        <v>171</v>
      </c>
      <c r="B76" s="116">
        <f>B12-(B74+B21+0.5*C71*C70)/1000</f>
        <v>0.5459999999999999</v>
      </c>
      <c r="C76" s="24" t="s">
        <v>17</v>
      </c>
      <c r="D76" s="24" t="s">
        <v>180</v>
      </c>
      <c r="G76" s="21"/>
      <c r="H76" s="21"/>
    </row>
    <row r="77" spans="1:10" ht="13.5">
      <c r="A77" s="22" t="s">
        <v>95</v>
      </c>
      <c r="B77" s="117">
        <f>(B74+B21+0.5*B70*B71)/1000</f>
        <v>0.047</v>
      </c>
      <c r="C77" s="24" t="s">
        <v>17</v>
      </c>
      <c r="D77" s="68" t="s">
        <v>96</v>
      </c>
      <c r="G77" s="21"/>
      <c r="H77" s="21"/>
      <c r="J77"/>
    </row>
    <row r="78" spans="1:12" ht="13.5">
      <c r="A78" s="22" t="s">
        <v>170</v>
      </c>
      <c r="B78" s="41">
        <f>B12-B77</f>
        <v>0.5529999999999999</v>
      </c>
      <c r="C78" s="21" t="s">
        <v>17</v>
      </c>
      <c r="D78" s="24" t="s">
        <v>179</v>
      </c>
      <c r="G78" s="21"/>
      <c r="H78" s="21"/>
      <c r="I78"/>
      <c r="J78"/>
      <c r="K78"/>
      <c r="L78"/>
    </row>
    <row r="79" spans="1:12" ht="12.75">
      <c r="A79" s="22" t="s">
        <v>21</v>
      </c>
      <c r="B79" s="41">
        <f>(B76+B78)/2</f>
        <v>0.5494999999999999</v>
      </c>
      <c r="C79" s="21" t="s">
        <v>17</v>
      </c>
      <c r="D79" s="21" t="s">
        <v>173</v>
      </c>
      <c r="G79" s="21"/>
      <c r="H79" s="21"/>
      <c r="I79"/>
      <c r="J79"/>
      <c r="K79"/>
      <c r="L79"/>
    </row>
    <row r="80" spans="1:12" ht="12.75">
      <c r="A80" s="22" t="s">
        <v>16</v>
      </c>
      <c r="B80" s="45">
        <f>B76-B77</f>
        <v>0.49899999999999994</v>
      </c>
      <c r="C80" s="21" t="s">
        <v>17</v>
      </c>
      <c r="D80" s="40" t="s">
        <v>51</v>
      </c>
      <c r="G80" s="21"/>
      <c r="H80" s="21"/>
      <c r="I80"/>
      <c r="J80"/>
      <c r="K80"/>
      <c r="L80"/>
    </row>
    <row r="81" spans="1:12" ht="12.75">
      <c r="A81" s="22" t="s">
        <v>102</v>
      </c>
      <c r="B81" s="41">
        <f>INT(75*B79)*10</f>
        <v>410</v>
      </c>
      <c r="C81" s="21" t="s">
        <v>29</v>
      </c>
      <c r="D81" s="21" t="s">
        <v>174</v>
      </c>
      <c r="G81" s="21"/>
      <c r="H81" s="21"/>
      <c r="I81"/>
      <c r="J81"/>
      <c r="K81"/>
      <c r="L81"/>
    </row>
    <row r="82" spans="1:12" ht="13.5">
      <c r="A82" s="22" t="s">
        <v>195</v>
      </c>
      <c r="B82" s="41">
        <f>2*B21</f>
        <v>24</v>
      </c>
      <c r="C82" s="21" t="s">
        <v>29</v>
      </c>
      <c r="D82" s="21" t="s">
        <v>224</v>
      </c>
      <c r="G82" s="21"/>
      <c r="H82" s="21"/>
      <c r="I82"/>
      <c r="J82"/>
      <c r="K82"/>
      <c r="L82"/>
    </row>
    <row r="83" spans="1:12" ht="12.75">
      <c r="A83" s="22" t="s">
        <v>182</v>
      </c>
      <c r="B83" s="114">
        <f>B80/B81*1000</f>
        <v>1.217073170731707</v>
      </c>
      <c r="D83" s="21" t="s">
        <v>35</v>
      </c>
      <c r="G83" s="21"/>
      <c r="H83" s="21"/>
      <c r="I83"/>
      <c r="J83"/>
      <c r="K83"/>
      <c r="L83"/>
    </row>
    <row r="84" spans="1:12" ht="12.75">
      <c r="A84" s="22" t="s">
        <v>68</v>
      </c>
      <c r="B84" s="114">
        <f>1/B83</f>
        <v>0.8216432865731464</v>
      </c>
      <c r="G84" s="21"/>
      <c r="H84" s="21"/>
      <c r="I84"/>
      <c r="J84"/>
      <c r="K84"/>
      <c r="L84"/>
    </row>
    <row r="85" spans="1:12" ht="12.75">
      <c r="A85" s="18" t="s">
        <v>27</v>
      </c>
      <c r="B85" s="42">
        <f>AF3*180/PI()</f>
        <v>50.59199435157921</v>
      </c>
      <c r="C85" s="21" t="s">
        <v>28</v>
      </c>
      <c r="G85" s="21"/>
      <c r="H85" s="21"/>
      <c r="I85"/>
      <c r="K85"/>
      <c r="L85"/>
    </row>
    <row r="86" spans="1:8" ht="14.25">
      <c r="A86" s="22" t="s">
        <v>97</v>
      </c>
      <c r="B86" s="42">
        <f>B9/fyd*10000</f>
        <v>4.6000000000000005</v>
      </c>
      <c r="C86" s="21" t="s">
        <v>13</v>
      </c>
      <c r="D86" s="21" t="s">
        <v>201</v>
      </c>
      <c r="G86" s="21"/>
      <c r="H86" s="21"/>
    </row>
    <row r="87" spans="1:8" ht="14.25">
      <c r="A87" s="22" t="s">
        <v>181</v>
      </c>
      <c r="B87" s="42">
        <f>B86/B81*1000</f>
        <v>11.219512195121952</v>
      </c>
      <c r="C87" s="21" t="s">
        <v>70</v>
      </c>
      <c r="D87" s="21" t="s">
        <v>202</v>
      </c>
      <c r="G87" s="21"/>
      <c r="H87" s="21"/>
    </row>
    <row r="88" spans="1:8" ht="14.25">
      <c r="A88" s="22" t="s">
        <v>183</v>
      </c>
      <c r="B88" s="71">
        <f>B22*PI()/4*B21^2/100*B73</f>
        <v>33.929200658769766</v>
      </c>
      <c r="C88" s="21" t="s">
        <v>70</v>
      </c>
      <c r="D88" s="21" t="s">
        <v>203</v>
      </c>
      <c r="G88" s="21"/>
      <c r="H88" s="21"/>
    </row>
    <row r="89" spans="7:8" ht="12">
      <c r="G89" s="21"/>
      <c r="H89" s="21"/>
    </row>
    <row r="90" spans="1:8" ht="12">
      <c r="A90" s="20" t="s">
        <v>191</v>
      </c>
      <c r="G90" s="21"/>
      <c r="H90" s="21"/>
    </row>
    <row r="91" spans="1:8" ht="13.5">
      <c r="A91" s="118" t="s">
        <v>189</v>
      </c>
      <c r="B91" s="119">
        <f>B9/B11/0.5/B80/AF4</f>
        <v>2.5936986995732143</v>
      </c>
      <c r="C91" s="120" t="s">
        <v>204</v>
      </c>
      <c r="D91" s="121">
        <f>0.6*(1-B15/250)*I29</f>
        <v>9.000000000000002</v>
      </c>
      <c r="E91" s="122" t="str">
        <f>IF(B91&gt;D91,"KO","OK")</f>
        <v>OK</v>
      </c>
      <c r="G91" s="21"/>
      <c r="H91" s="21"/>
    </row>
    <row r="92" spans="7:8" ht="12">
      <c r="G92" s="21"/>
      <c r="H92" s="21"/>
    </row>
    <row r="93" spans="2:8" ht="12">
      <c r="B93" s="67" t="s">
        <v>165</v>
      </c>
      <c r="C93" s="67" t="s">
        <v>166</v>
      </c>
      <c r="G93" s="21"/>
      <c r="H93" s="21"/>
    </row>
    <row r="94" spans="1:6" ht="13.5">
      <c r="A94" s="118" t="s">
        <v>190</v>
      </c>
      <c r="B94" s="123">
        <f>B9/AF4/B11/AF7*1000</f>
        <v>4.63632492176401</v>
      </c>
      <c r="C94" s="123">
        <f>B9/AF4/B11/AG7*1000</f>
        <v>4.285477151752337</v>
      </c>
      <c r="D94" s="120" t="s">
        <v>204</v>
      </c>
      <c r="E94" s="121">
        <f>0.75*(1-B15/250)*I29</f>
        <v>11.250000000000002</v>
      </c>
      <c r="F94" s="122" t="str">
        <f>IF(MAX(B94,C94)&gt;E94,"KO","OK")</f>
        <v>OK</v>
      </c>
    </row>
  </sheetData>
  <sheetProtection password="DE57" sheet="1" selectLockedCells="1"/>
  <mergeCells count="2">
    <mergeCell ref="M2:N2"/>
    <mergeCell ref="B1:I1"/>
  </mergeCells>
  <conditionalFormatting sqref="D40 F94 E91 D61:D62 D51">
    <cfRule type="cellIs" priority="1" dxfId="0" operator="equal" stopIfTrue="1">
      <formula>"KO"</formula>
    </cfRule>
  </conditionalFormatting>
  <conditionalFormatting sqref="B40 B62">
    <cfRule type="cellIs" priority="2" dxfId="0" operator="greaterThan" stopIfTrue="1">
      <formula>1</formula>
    </cfRule>
  </conditionalFormatting>
  <conditionalFormatting sqref="B88">
    <cfRule type="cellIs" priority="3" dxfId="0" operator="lessThan" stopIfTrue="1">
      <formula>$B$87</formula>
    </cfRule>
  </conditionalFormatting>
  <conditionalFormatting sqref="B58">
    <cfRule type="cellIs" priority="4" dxfId="0" operator="equal" stopIfTrue="1">
      <formula>"NON"</formula>
    </cfRule>
  </conditionalFormatting>
  <dataValidations count="6">
    <dataValidation type="list" allowBlank="1" showInputMessage="1" showErrorMessage="1" sqref="B15">
      <formula1>$U$17:$U$30</formula1>
    </dataValidation>
    <dataValidation type="whole" allowBlank="1" showInputMessage="1" showErrorMessage="1" sqref="B16">
      <formula1>400</formula1>
      <formula2>600</formula2>
    </dataValidation>
    <dataValidation type="decimal" operator="greaterThanOrEqual" allowBlank="1" showInputMessage="1" showErrorMessage="1" sqref="B9:B10 B7">
      <formula1>0</formula1>
    </dataValidation>
    <dataValidation type="list" allowBlank="1" showInputMessage="1" showErrorMessage="1" sqref="B19">
      <formula1>$U$7:$U$9</formula1>
    </dataValidation>
    <dataValidation type="decimal" allowBlank="1" showInputMessage="1" showErrorMessage="1" sqref="B20">
      <formula1>1</formula1>
      <formula2>2.5</formula2>
    </dataValidation>
    <dataValidation type="whole" operator="lessThan" allowBlank="1" showInputMessage="1" showErrorMessage="1" sqref="B71:C71">
      <formula1>3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5"/>
  <rowBreaks count="1" manualBreakCount="1">
    <brk id="63" max="255" man="1"/>
  </rowBreaks>
  <colBreaks count="1" manualBreakCount="1">
    <brk id="18" max="65535" man="1"/>
  </colBreaks>
  <drawing r:id="rId4"/>
  <legacyDrawing r:id="rId3"/>
  <oleObjects>
    <oleObject progId="Designer.Drawing.7" shapeId="9159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Henry</cp:lastModifiedBy>
  <dcterms:created xsi:type="dcterms:W3CDTF">2011-02-05T13:49:29Z</dcterms:created>
  <dcterms:modified xsi:type="dcterms:W3CDTF">2021-10-07T10:40:55Z</dcterms:modified>
  <cp:category/>
  <cp:version/>
  <cp:contentType/>
  <cp:contentStatus/>
</cp:coreProperties>
</file>