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91" windowWidth="15630" windowHeight="10500" activeTab="0"/>
  </bookViews>
  <sheets>
    <sheet name="Feuil1" sheetId="1" r:id="rId1"/>
  </sheets>
  <definedNames>
    <definedName name="gc">'Feuil1'!$W$12</definedName>
    <definedName name="tabac">'Feuil1'!$W$39:$Y$42</definedName>
    <definedName name="tabfck">'Feuil1'!$Q$46:$Y$59</definedName>
  </definedNames>
  <calcPr calcMode="manual" fullCalcOnLoad="1" iterate="1" iterateCount="10" iterateDelta="0.001"/>
</workbook>
</file>

<file path=xl/sharedStrings.xml><?xml version="1.0" encoding="utf-8"?>
<sst xmlns="http://schemas.openxmlformats.org/spreadsheetml/2006/main" count="162" uniqueCount="119">
  <si>
    <t>p</t>
  </si>
  <si>
    <t>L</t>
  </si>
  <si>
    <t>MR</t>
  </si>
  <si>
    <t>a</t>
  </si>
  <si>
    <t>b</t>
  </si>
  <si>
    <t>c</t>
  </si>
  <si>
    <t>D</t>
  </si>
  <si>
    <r>
      <t>M</t>
    </r>
    <r>
      <rPr>
        <vertAlign val="subscript"/>
        <sz val="9"/>
        <rFont val="Arial"/>
        <family val="2"/>
      </rPr>
      <t>w</t>
    </r>
  </si>
  <si>
    <r>
      <t>M</t>
    </r>
    <r>
      <rPr>
        <vertAlign val="subscript"/>
        <sz val="9"/>
        <rFont val="Arial"/>
        <family val="2"/>
      </rPr>
      <t>e</t>
    </r>
  </si>
  <si>
    <r>
      <t>x</t>
    </r>
    <r>
      <rPr>
        <vertAlign val="subscript"/>
        <sz val="9"/>
        <rFont val="Arial"/>
        <family val="2"/>
      </rPr>
      <t>1</t>
    </r>
  </si>
  <si>
    <r>
      <t>x</t>
    </r>
    <r>
      <rPr>
        <vertAlign val="subscript"/>
        <sz val="9"/>
        <rFont val="Arial"/>
        <family val="2"/>
      </rPr>
      <t>2</t>
    </r>
  </si>
  <si>
    <t>M</t>
  </si>
  <si>
    <t>k</t>
  </si>
  <si>
    <t>m</t>
  </si>
  <si>
    <t>kN/m</t>
  </si>
  <si>
    <t>kNm</t>
  </si>
  <si>
    <r>
      <t>D</t>
    </r>
    <r>
      <rPr>
        <sz val="9"/>
        <rFont val="Arial"/>
        <family val="0"/>
      </rPr>
      <t>x</t>
    </r>
    <r>
      <rPr>
        <vertAlign val="subscript"/>
        <sz val="9"/>
        <rFont val="Arial"/>
        <family val="2"/>
      </rPr>
      <t>1</t>
    </r>
  </si>
  <si>
    <r>
      <t>V</t>
    </r>
    <r>
      <rPr>
        <vertAlign val="subscript"/>
        <sz val="9"/>
        <rFont val="Arial"/>
        <family val="2"/>
      </rPr>
      <t>1</t>
    </r>
  </si>
  <si>
    <r>
      <t>M</t>
    </r>
    <r>
      <rPr>
        <vertAlign val="subscript"/>
        <sz val="9"/>
        <rFont val="Arial"/>
        <family val="2"/>
      </rPr>
      <t>1</t>
    </r>
  </si>
  <si>
    <r>
      <t>V</t>
    </r>
    <r>
      <rPr>
        <vertAlign val="subscript"/>
        <sz val="9"/>
        <rFont val="Arial"/>
        <family val="2"/>
      </rPr>
      <t>2</t>
    </r>
  </si>
  <si>
    <r>
      <t>M</t>
    </r>
    <r>
      <rPr>
        <vertAlign val="subscript"/>
        <sz val="9"/>
        <rFont val="Arial"/>
        <family val="2"/>
      </rPr>
      <t>2</t>
    </r>
  </si>
  <si>
    <r>
      <t>D</t>
    </r>
    <r>
      <rPr>
        <sz val="9"/>
        <rFont val="Arial"/>
        <family val="0"/>
      </rPr>
      <t>x</t>
    </r>
    <r>
      <rPr>
        <vertAlign val="subscript"/>
        <sz val="9"/>
        <rFont val="Arial"/>
        <family val="2"/>
      </rPr>
      <t>2</t>
    </r>
  </si>
  <si>
    <t>z</t>
  </si>
  <si>
    <t>r</t>
  </si>
  <si>
    <t>g</t>
  </si>
  <si>
    <t>h</t>
  </si>
  <si>
    <t>largeur</t>
  </si>
  <si>
    <t>d</t>
  </si>
  <si>
    <t>hauteur utile</t>
  </si>
  <si>
    <t>classe</t>
  </si>
  <si>
    <t>A</t>
  </si>
  <si>
    <t>acier</t>
  </si>
  <si>
    <r>
      <t>A</t>
    </r>
    <r>
      <rPr>
        <vertAlign val="subscript"/>
        <sz val="9"/>
        <rFont val="Arial"/>
        <family val="2"/>
      </rPr>
      <t>s</t>
    </r>
  </si>
  <si>
    <r>
      <t>cm</t>
    </r>
    <r>
      <rPr>
        <vertAlign val="superscript"/>
        <sz val="9"/>
        <rFont val="Arial"/>
        <family val="2"/>
      </rPr>
      <t>2</t>
    </r>
  </si>
  <si>
    <r>
      <t>f</t>
    </r>
    <r>
      <rPr>
        <vertAlign val="subscript"/>
        <sz val="9"/>
        <rFont val="Arial"/>
        <family val="2"/>
      </rPr>
      <t>yk</t>
    </r>
  </si>
  <si>
    <t>MPa</t>
  </si>
  <si>
    <r>
      <t>r</t>
    </r>
  </si>
  <si>
    <r>
      <t>f</t>
    </r>
    <r>
      <rPr>
        <vertAlign val="subscript"/>
        <sz val="9"/>
        <rFont val="Arial"/>
        <family val="2"/>
      </rPr>
      <t>yd</t>
    </r>
  </si>
  <si>
    <r>
      <t>e</t>
    </r>
    <r>
      <rPr>
        <vertAlign val="subscript"/>
        <sz val="9"/>
        <rFont val="Arial"/>
        <family val="2"/>
      </rPr>
      <t>uk</t>
    </r>
  </si>
  <si>
    <t>‰</t>
  </si>
  <si>
    <r>
      <t>f</t>
    </r>
    <r>
      <rPr>
        <vertAlign val="subscript"/>
        <sz val="9"/>
        <rFont val="Arial"/>
        <family val="2"/>
      </rPr>
      <t>ck</t>
    </r>
  </si>
  <si>
    <t>béton</t>
  </si>
  <si>
    <r>
      <t>f</t>
    </r>
    <r>
      <rPr>
        <vertAlign val="subscript"/>
        <sz val="9"/>
        <rFont val="Arial"/>
        <family val="2"/>
      </rPr>
      <t>cd</t>
    </r>
  </si>
  <si>
    <r>
      <t>e</t>
    </r>
    <r>
      <rPr>
        <vertAlign val="subscript"/>
        <sz val="9"/>
        <rFont val="Arial"/>
        <family val="2"/>
      </rPr>
      <t>ud</t>
    </r>
  </si>
  <si>
    <r>
      <t>E</t>
    </r>
    <r>
      <rPr>
        <vertAlign val="subscript"/>
        <sz val="9"/>
        <rFont val="Arial"/>
        <family val="2"/>
      </rPr>
      <t>cm</t>
    </r>
  </si>
  <si>
    <t>GPa</t>
  </si>
  <si>
    <r>
      <t>e</t>
    </r>
    <r>
      <rPr>
        <vertAlign val="subscript"/>
        <sz val="9"/>
        <rFont val="Arial"/>
        <family val="2"/>
      </rPr>
      <t>s0</t>
    </r>
  </si>
  <si>
    <r>
      <t>a</t>
    </r>
    <r>
      <rPr>
        <vertAlign val="subscript"/>
        <sz val="9"/>
        <rFont val="Arial"/>
        <family val="2"/>
      </rPr>
      <t>e</t>
    </r>
  </si>
  <si>
    <r>
      <t>e</t>
    </r>
    <r>
      <rPr>
        <vertAlign val="subscript"/>
        <sz val="9"/>
        <rFont val="Arial"/>
        <family val="2"/>
      </rPr>
      <t>c2</t>
    </r>
  </si>
  <si>
    <r>
      <t>e</t>
    </r>
    <r>
      <rPr>
        <vertAlign val="subscript"/>
        <sz val="9"/>
        <rFont val="Arial"/>
        <family val="2"/>
      </rPr>
      <t>cu2</t>
    </r>
  </si>
  <si>
    <r>
      <t xml:space="preserve">pour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 xml:space="preserve"> =</t>
    </r>
  </si>
  <si>
    <r>
      <t>s</t>
    </r>
    <r>
      <rPr>
        <vertAlign val="subscript"/>
        <sz val="9"/>
        <rFont val="Arial"/>
        <family val="2"/>
      </rPr>
      <t>s</t>
    </r>
  </si>
  <si>
    <t>y</t>
  </si>
  <si>
    <r>
      <t>e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</si>
  <si>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</si>
  <si>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</si>
  <si>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c</t>
    </r>
  </si>
  <si>
    <r>
      <t>rapport F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/F</t>
    </r>
    <r>
      <rPr>
        <vertAlign val="subscript"/>
        <sz val="9"/>
        <rFont val="Arial"/>
        <family val="2"/>
      </rPr>
      <t>c</t>
    </r>
  </si>
  <si>
    <r>
      <t>= 1 - 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s0</t>
    </r>
    <r>
      <rPr>
        <sz val="9"/>
        <rFont val="Arial"/>
        <family val="0"/>
      </rPr>
      <t>)/M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ud</t>
    </r>
    <r>
      <rPr>
        <sz val="9"/>
        <rFont val="Arial"/>
        <family val="0"/>
      </rPr>
      <t>)</t>
    </r>
  </si>
  <si>
    <t>B</t>
  </si>
  <si>
    <t>hauteur</t>
  </si>
  <si>
    <t>armatures</t>
  </si>
  <si>
    <r>
      <t>s</t>
    </r>
    <r>
      <rPr>
        <vertAlign val="subscript"/>
        <sz val="9"/>
        <rFont val="Arial"/>
        <family val="2"/>
      </rPr>
      <t>s,max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</si>
  <si>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</si>
  <si>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</si>
  <si>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</si>
  <si>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t>n</t>
  </si>
  <si>
    <r>
      <t>g</t>
    </r>
    <r>
      <rPr>
        <vertAlign val="subscript"/>
        <sz val="9"/>
        <rFont val="Arial"/>
        <family val="2"/>
      </rPr>
      <t>C</t>
    </r>
  </si>
  <si>
    <t>C</t>
  </si>
  <si>
    <r>
      <t>g</t>
    </r>
    <r>
      <rPr>
        <vertAlign val="subscript"/>
        <sz val="9"/>
        <rFont val="Arial"/>
        <family val="2"/>
      </rPr>
      <t>S</t>
    </r>
  </si>
  <si>
    <r>
      <t>M</t>
    </r>
    <r>
      <rPr>
        <vertAlign val="subscript"/>
        <sz val="9"/>
        <rFont val="Arial"/>
        <family val="2"/>
      </rPr>
      <t>R,lit</t>
    </r>
  </si>
  <si>
    <t>portée</t>
  </si>
  <si>
    <t>charge ELU</t>
  </si>
  <si>
    <t>m à chaque extrémité</t>
  </si>
  <si>
    <t>= - p/2</t>
  </si>
  <si>
    <r>
      <t>= p.L/2-M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/L+M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>/L</t>
    </r>
  </si>
  <si>
    <r>
      <t>= M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-M</t>
    </r>
    <r>
      <rPr>
        <vertAlign val="subscript"/>
        <sz val="9"/>
        <rFont val="Arial"/>
        <family val="2"/>
      </rPr>
      <t>R</t>
    </r>
  </si>
  <si>
    <r>
      <t>M</t>
    </r>
    <r>
      <rPr>
        <vertAlign val="subscript"/>
        <sz val="9"/>
        <rFont val="Arial"/>
        <family val="2"/>
      </rPr>
      <t>R</t>
    </r>
  </si>
  <si>
    <r>
      <t>= b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 -4a.c</t>
    </r>
  </si>
  <si>
    <r>
      <t>(m)   = (-b +</t>
    </r>
    <r>
      <rPr>
        <sz val="9"/>
        <rFont val="Symbol"/>
        <family val="1"/>
      </rPr>
      <t>D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>/(2a)</t>
    </r>
  </si>
  <si>
    <r>
      <t>(m)   = (-b -</t>
    </r>
    <r>
      <rPr>
        <sz val="9"/>
        <rFont val="Symbol"/>
        <family val="1"/>
      </rPr>
      <t>D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2"/>
      </rPr>
      <t>/(2a)</t>
    </r>
  </si>
  <si>
    <r>
      <t>kN)  = p.(L/2 -x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 +(M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 xml:space="preserve"> -M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)/L</t>
    </r>
  </si>
  <si>
    <r>
      <t>(kNm)  = p.x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.(L -x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)/2 +(1-x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/L).M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 xml:space="preserve"> + (x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/L).M</t>
    </r>
    <r>
      <rPr>
        <vertAlign val="subscript"/>
        <sz val="9"/>
        <rFont val="Arial"/>
        <family val="2"/>
      </rPr>
      <t>w</t>
    </r>
  </si>
  <si>
    <r>
      <t>(m)  = k.M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1</t>
    </r>
  </si>
  <si>
    <r>
      <t>kN)  = p.(L/2 -x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 +(M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 xml:space="preserve"> -M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)/L</t>
    </r>
  </si>
  <si>
    <r>
      <t>(kNm)  = p.x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.(L -x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)/2 +(1-x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/L).M</t>
    </r>
    <r>
      <rPr>
        <vertAlign val="subscript"/>
        <sz val="9"/>
        <rFont val="Arial"/>
        <family val="2"/>
      </rPr>
      <t>e</t>
    </r>
    <r>
      <rPr>
        <sz val="9"/>
        <rFont val="Arial"/>
        <family val="0"/>
      </rPr>
      <t xml:space="preserve"> + (x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/L).M</t>
    </r>
    <r>
      <rPr>
        <vertAlign val="subscript"/>
        <sz val="9"/>
        <rFont val="Arial"/>
        <family val="2"/>
      </rPr>
      <t>w</t>
    </r>
  </si>
  <si>
    <r>
      <t>(m)  = k.M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0"/>
      </rPr>
      <t>/ V</t>
    </r>
    <r>
      <rPr>
        <vertAlign val="subscript"/>
        <sz val="9"/>
        <rFont val="Arial"/>
        <family val="2"/>
      </rPr>
      <t>2</t>
    </r>
  </si>
  <si>
    <t>moment isostatique</t>
  </si>
  <si>
    <r>
      <t>% d'armatures = A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/(b.d)</t>
    </r>
  </si>
  <si>
    <t>H. Thonier</t>
  </si>
  <si>
    <t>L'auteur n'est pas</t>
  </si>
  <si>
    <t>responsable de</t>
  </si>
  <si>
    <t>l'usage fait de</t>
  </si>
  <si>
    <t>ce programme</t>
  </si>
  <si>
    <t>bras de levier = d -g.y</t>
  </si>
  <si>
    <t>.</t>
  </si>
  <si>
    <t>dessin</t>
  </si>
  <si>
    <t>182 - Décalage des longueurs d'armatures pour éviter des rotules en travée</t>
  </si>
  <si>
    <r>
      <t>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s0</t>
    </r>
    <r>
      <rPr>
        <sz val="9"/>
        <rFont val="Arial"/>
        <family val="0"/>
      </rPr>
      <t>)/M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ud</t>
    </r>
    <r>
      <rPr>
        <sz val="9"/>
        <rFont val="Arial"/>
        <family val="0"/>
      </rPr>
      <t>) =</t>
    </r>
  </si>
  <si>
    <t>=</t>
  </si>
  <si>
    <t>Allongement total de l'armature</t>
  </si>
  <si>
    <t xml:space="preserve">macro </t>
  </si>
  <si>
    <r>
      <t>= f(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</si>
  <si>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r>
      <t>= A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</si>
  <si>
    <r>
      <t>= r.b.y.f</t>
    </r>
    <r>
      <rPr>
        <vertAlign val="subscript"/>
        <sz val="9"/>
        <rFont val="Arial"/>
        <family val="2"/>
      </rPr>
      <t>cd</t>
    </r>
  </si>
  <si>
    <t>kN</t>
  </si>
  <si>
    <r>
      <t xml:space="preserve">fibre neutre =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+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</si>
  <si>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r>
      <t>= F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.z</t>
    </r>
  </si>
  <si>
    <r>
      <t>rapport des M</t>
    </r>
    <r>
      <rPr>
        <vertAlign val="subscript"/>
        <sz val="9"/>
        <rFont val="Arial"/>
        <family val="2"/>
      </rPr>
      <t>R</t>
    </r>
  </si>
  <si>
    <r>
      <t>= f(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)</t>
    </r>
  </si>
  <si>
    <t>Décalage du lit étudié</t>
  </si>
  <si>
    <r>
      <t>coeff de remplissage r tel que F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= r.b.y.f</t>
    </r>
    <r>
      <rPr>
        <vertAlign val="subscript"/>
        <sz val="9"/>
        <rFont val="Arial"/>
        <family val="2"/>
      </rPr>
      <t>cd</t>
    </r>
  </si>
  <si>
    <t>coeff. de bras de levier g tel que : z = d - g.y</t>
  </si>
  <si>
    <t>raccourcisement du béton (macro)</t>
  </si>
  <si>
    <t>coefficient de bras de levier</t>
  </si>
  <si>
    <t>coefficient de remplissage</t>
  </si>
  <si>
    <t>vérification de l'équilibre des forces</t>
  </si>
  <si>
    <t>Moments résistants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</si>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</sst>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%"/>
    <numFmt numFmtId="168" formatCode="0.000%"/>
  </numFmts>
  <fonts count="17">
    <font>
      <sz val="9"/>
      <name val="Arial"/>
      <family val="0"/>
    </font>
    <font>
      <sz val="8"/>
      <name val="Arial"/>
      <family val="0"/>
    </font>
    <font>
      <vertAlign val="subscript"/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0"/>
    </font>
    <font>
      <b/>
      <sz val="9"/>
      <name val="Helv"/>
      <family val="0"/>
    </font>
    <font>
      <i/>
      <sz val="9"/>
      <name val="Arial"/>
      <family val="2"/>
    </font>
    <font>
      <sz val="9"/>
      <color indexed="55"/>
      <name val="Arial"/>
      <family val="0"/>
    </font>
    <font>
      <sz val="8.25"/>
      <name val="Arial"/>
      <family val="2"/>
    </font>
    <font>
      <vertAlign val="subscript"/>
      <sz val="8"/>
      <name val="Arial"/>
      <family val="2"/>
    </font>
    <font>
      <sz val="8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Alignment="1">
      <alignment horizontal="left"/>
    </xf>
    <xf numFmtId="16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0" fillId="0" borderId="0" xfId="21" applyFont="1" applyAlignment="1" quotePrefix="1">
      <alignment horizontal="left"/>
    </xf>
    <xf numFmtId="167" fontId="0" fillId="0" borderId="0" xfId="21" applyNumberFormat="1" applyFont="1" applyBorder="1" applyAlignment="1">
      <alignment horizontal="center"/>
    </xf>
    <xf numFmtId="167" fontId="0" fillId="0" borderId="8" xfId="21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/>
      <protection/>
    </xf>
    <xf numFmtId="1" fontId="0" fillId="0" borderId="2" xfId="0" applyNumberFormat="1" applyFont="1" applyBorder="1" applyAlignment="1" applyProtection="1">
      <alignment horizontal="center"/>
      <protection/>
    </xf>
    <xf numFmtId="1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65" fontId="0" fillId="0" borderId="7" xfId="0" applyNumberFormat="1" applyFont="1" applyBorder="1" applyAlignment="1" applyProtection="1">
      <alignment horizontal="center"/>
      <protection/>
    </xf>
    <xf numFmtId="0" fontId="0" fillId="0" borderId="9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0" fillId="0" borderId="8" xfId="21" applyNumberFormat="1" applyBorder="1" applyAlignment="1">
      <alignment horizontal="center"/>
    </xf>
    <xf numFmtId="0" fontId="0" fillId="0" borderId="0" xfId="0" applyAlignment="1" quotePrefix="1">
      <alignment horizontal="left"/>
    </xf>
    <xf numFmtId="167" fontId="6" fillId="2" borderId="13" xfId="2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167" fontId="0" fillId="0" borderId="9" xfId="2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7" fontId="0" fillId="0" borderId="10" xfId="21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Décalage pour éviter la rotule plastique</a:t>
            </a:r>
          </a:p>
        </c:rich>
      </c:tx>
      <c:layout>
        <c:manualLayout>
          <c:xMode val="factor"/>
          <c:yMode val="factor"/>
          <c:x val="0.262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25"/>
          <c:h val="0.9137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Feuil1!$R$3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Feuil1!$Q$4:$Q$42</c:f>
              <c:numCache>
                <c:ptCount val="3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2">
                  <c:v>0</c:v>
                </c:pt>
                <c:pt idx="23">
                  <c:v>4.145972214101015</c:v>
                </c:pt>
                <c:pt idx="25">
                  <c:v>1.677802471941603</c:v>
                </c:pt>
                <c:pt idx="26">
                  <c:v>4.238864194725064</c:v>
                </c:pt>
                <c:pt idx="28">
                  <c:v>1.677802471941603</c:v>
                </c:pt>
                <c:pt idx="29">
                  <c:v>1.677802471941603</c:v>
                </c:pt>
                <c:pt idx="31">
                  <c:v>4.238864194725064</c:v>
                </c:pt>
                <c:pt idx="32">
                  <c:v>4.238864194725064</c:v>
                </c:pt>
                <c:pt idx="34">
                  <c:v>0</c:v>
                </c:pt>
                <c:pt idx="35">
                  <c:v>0</c:v>
                </c:pt>
                <c:pt idx="37">
                  <c:v>6</c:v>
                </c:pt>
                <c:pt idx="38">
                  <c:v>6</c:v>
                </c:pt>
              </c:numCache>
            </c:numRef>
          </c:xVal>
          <c:yVal>
            <c:numRef>
              <c:f>Feuil1!$R$4:$R$42</c:f>
              <c:numCache>
                <c:ptCount val="39"/>
                <c:pt idx="0">
                  <c:v>-140</c:v>
                </c:pt>
                <c:pt idx="1">
                  <c:v>-89.44999999999999</c:v>
                </c:pt>
                <c:pt idx="2">
                  <c:v>-44.3</c:v>
                </c:pt>
                <c:pt idx="3">
                  <c:v>-4.550000000000011</c:v>
                </c:pt>
                <c:pt idx="4">
                  <c:v>29.799999999999983</c:v>
                </c:pt>
                <c:pt idx="5">
                  <c:v>58.75</c:v>
                </c:pt>
                <c:pt idx="6">
                  <c:v>82.30000000000001</c:v>
                </c:pt>
                <c:pt idx="7">
                  <c:v>100.44999999999999</c:v>
                </c:pt>
                <c:pt idx="8">
                  <c:v>113.19999999999999</c:v>
                </c:pt>
                <c:pt idx="9">
                  <c:v>120.55000000000001</c:v>
                </c:pt>
                <c:pt idx="10">
                  <c:v>122.5</c:v>
                </c:pt>
                <c:pt idx="11">
                  <c:v>119.05000000000001</c:v>
                </c:pt>
                <c:pt idx="12">
                  <c:v>110.19999999999999</c:v>
                </c:pt>
                <c:pt idx="13">
                  <c:v>95.95000000000002</c:v>
                </c:pt>
                <c:pt idx="14">
                  <c:v>76.29999999999998</c:v>
                </c:pt>
                <c:pt idx="15">
                  <c:v>51.25</c:v>
                </c:pt>
                <c:pt idx="16">
                  <c:v>20.80000000000001</c:v>
                </c:pt>
                <c:pt idx="17">
                  <c:v>-15.049999999999955</c:v>
                </c:pt>
                <c:pt idx="18">
                  <c:v>-56.300000000000054</c:v>
                </c:pt>
                <c:pt idx="19">
                  <c:v>-102.95000000000002</c:v>
                </c:pt>
                <c:pt idx="20">
                  <c:v>-155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Feuil1!$S$3</c:f>
              <c:strCache>
                <c:ptCount val="1"/>
                <c:pt idx="0">
                  <c:v>MR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Feuil1!$Q$4:$Q$42</c:f>
              <c:numCache>
                <c:ptCount val="3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2">
                  <c:v>0</c:v>
                </c:pt>
                <c:pt idx="23">
                  <c:v>4.145972214101015</c:v>
                </c:pt>
                <c:pt idx="25">
                  <c:v>1.677802471941603</c:v>
                </c:pt>
                <c:pt idx="26">
                  <c:v>4.238864194725064</c:v>
                </c:pt>
                <c:pt idx="28">
                  <c:v>1.677802471941603</c:v>
                </c:pt>
                <c:pt idx="29">
                  <c:v>1.677802471941603</c:v>
                </c:pt>
                <c:pt idx="31">
                  <c:v>4.238864194725064</c:v>
                </c:pt>
                <c:pt idx="32">
                  <c:v>4.238864194725064</c:v>
                </c:pt>
                <c:pt idx="34">
                  <c:v>0</c:v>
                </c:pt>
                <c:pt idx="35">
                  <c:v>0</c:v>
                </c:pt>
                <c:pt idx="37">
                  <c:v>6</c:v>
                </c:pt>
                <c:pt idx="38">
                  <c:v>6</c:v>
                </c:pt>
              </c:numCache>
            </c:numRef>
          </c:xVal>
          <c:yVal>
            <c:numRef>
              <c:f>Feuil1!$S$4:$S$42</c:f>
              <c:numCache>
                <c:ptCount val="39"/>
                <c:pt idx="22">
                  <c:v>80.2375</c:v>
                </c:pt>
                <c:pt idx="23">
                  <c:v>80.2375</c:v>
                </c:pt>
                <c:pt idx="28">
                  <c:v>0</c:v>
                </c:pt>
                <c:pt idx="29">
                  <c:v>80.2375</c:v>
                </c:pt>
                <c:pt idx="31">
                  <c:v>0</c:v>
                </c:pt>
                <c:pt idx="32">
                  <c:v>80.2375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Feuil1!$T$3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Feuil1!$Q$4:$Q$42</c:f>
              <c:numCache>
                <c:ptCount val="3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2">
                  <c:v>0</c:v>
                </c:pt>
                <c:pt idx="23">
                  <c:v>4.145972214101015</c:v>
                </c:pt>
                <c:pt idx="25">
                  <c:v>1.677802471941603</c:v>
                </c:pt>
                <c:pt idx="26">
                  <c:v>4.238864194725064</c:v>
                </c:pt>
                <c:pt idx="28">
                  <c:v>1.677802471941603</c:v>
                </c:pt>
                <c:pt idx="29">
                  <c:v>1.677802471941603</c:v>
                </c:pt>
                <c:pt idx="31">
                  <c:v>4.238864194725064</c:v>
                </c:pt>
                <c:pt idx="32">
                  <c:v>4.238864194725064</c:v>
                </c:pt>
                <c:pt idx="34">
                  <c:v>0</c:v>
                </c:pt>
                <c:pt idx="35">
                  <c:v>0</c:v>
                </c:pt>
                <c:pt idx="37">
                  <c:v>6</c:v>
                </c:pt>
                <c:pt idx="38">
                  <c:v>6</c:v>
                </c:pt>
              </c:numCache>
            </c:numRef>
          </c:xVal>
          <c:yVal>
            <c:numRef>
              <c:f>Feuil1!$T$4:$T$42</c:f>
              <c:numCache>
                <c:ptCount val="39"/>
                <c:pt idx="25">
                  <c:v>80.2375</c:v>
                </c:pt>
                <c:pt idx="26">
                  <c:v>80.2375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Feuil1!$U$3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Feuil1!$Q$4:$Q$42</c:f>
              <c:numCache>
                <c:ptCount val="39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3.6</c:v>
                </c:pt>
                <c:pt idx="13">
                  <c:v>3.9</c:v>
                </c:pt>
                <c:pt idx="14">
                  <c:v>4.2</c:v>
                </c:pt>
                <c:pt idx="15">
                  <c:v>4.5</c:v>
                </c:pt>
                <c:pt idx="16">
                  <c:v>4.8</c:v>
                </c:pt>
                <c:pt idx="17">
                  <c:v>5.1</c:v>
                </c:pt>
                <c:pt idx="18">
                  <c:v>5.4</c:v>
                </c:pt>
                <c:pt idx="19">
                  <c:v>5.7</c:v>
                </c:pt>
                <c:pt idx="20">
                  <c:v>6</c:v>
                </c:pt>
                <c:pt idx="22">
                  <c:v>0</c:v>
                </c:pt>
                <c:pt idx="23">
                  <c:v>4.145972214101015</c:v>
                </c:pt>
                <c:pt idx="25">
                  <c:v>1.677802471941603</c:v>
                </c:pt>
                <c:pt idx="26">
                  <c:v>4.238864194725064</c:v>
                </c:pt>
                <c:pt idx="28">
                  <c:v>1.677802471941603</c:v>
                </c:pt>
                <c:pt idx="29">
                  <c:v>1.677802471941603</c:v>
                </c:pt>
                <c:pt idx="31">
                  <c:v>4.238864194725064</c:v>
                </c:pt>
                <c:pt idx="32">
                  <c:v>4.238864194725064</c:v>
                </c:pt>
                <c:pt idx="34">
                  <c:v>0</c:v>
                </c:pt>
                <c:pt idx="35">
                  <c:v>0</c:v>
                </c:pt>
                <c:pt idx="37">
                  <c:v>6</c:v>
                </c:pt>
                <c:pt idx="38">
                  <c:v>6</c:v>
                </c:pt>
              </c:numCache>
            </c:numRef>
          </c:xVal>
          <c:yVal>
            <c:numRef>
              <c:f>Feuil1!$U$4:$U$42</c:f>
              <c:numCache>
                <c:ptCount val="39"/>
                <c:pt idx="34">
                  <c:v>-140</c:v>
                </c:pt>
                <c:pt idx="35">
                  <c:v>0</c:v>
                </c:pt>
                <c:pt idx="37">
                  <c:v>-155</c:v>
                </c:pt>
                <c:pt idx="38">
                  <c:v>0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crossBetween val="midCat"/>
        <c:dispUnits/>
        <c:majorUnit val="0.5"/>
      </c:valAx>
      <c:valAx>
        <c:axId val="18028169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45"/>
          <c:y val="0.0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Moment
résistant
relatif
en fonction
 de </a:t>
            </a:r>
            <a:r>
              <a:rPr lang="en-US" cap="none" sz="800" b="0" i="0" u="none" baseline="0"/>
              <a:t>e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s</a:t>
            </a:r>
          </a:p>
        </c:rich>
      </c:tx>
      <c:layout>
        <c:manualLayout>
          <c:xMode val="factor"/>
          <c:yMode val="factor"/>
          <c:x val="0.4342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1175"/>
          <c:w val="0.855"/>
          <c:h val="0.98825"/>
        </c:manualLayout>
      </c:layout>
      <c:scatterChart>
        <c:scatterStyle val="line"/>
        <c:varyColors val="0"/>
        <c:ser>
          <c:idx val="0"/>
          <c:order val="0"/>
          <c:tx>
            <c:strRef>
              <c:f>Feuil1!$Z$3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Feuil1!$Y$4:$Y$23</c:f>
              <c:numCache>
                <c:ptCount val="20"/>
                <c:pt idx="0">
                  <c:v>0</c:v>
                </c:pt>
                <c:pt idx="1">
                  <c:v>1.0869565217391304</c:v>
                </c:pt>
                <c:pt idx="2">
                  <c:v>2.1739130434782608</c:v>
                </c:pt>
                <c:pt idx="3">
                  <c:v>2.1739130434782608</c:v>
                </c:pt>
                <c:pt idx="4">
                  <c:v>6.4565217391304355</c:v>
                </c:pt>
                <c:pt idx="5">
                  <c:v>10.73913043478261</c:v>
                </c:pt>
                <c:pt idx="6">
                  <c:v>15.021739130434781</c:v>
                </c:pt>
                <c:pt idx="7">
                  <c:v>19.30434782608696</c:v>
                </c:pt>
                <c:pt idx="8">
                  <c:v>23.586956521739133</c:v>
                </c:pt>
                <c:pt idx="9">
                  <c:v>27.869565217391305</c:v>
                </c:pt>
                <c:pt idx="10">
                  <c:v>32.15217391304348</c:v>
                </c:pt>
                <c:pt idx="11">
                  <c:v>36.434782608695656</c:v>
                </c:pt>
                <c:pt idx="12">
                  <c:v>40.71739130434783</c:v>
                </c:pt>
                <c:pt idx="13">
                  <c:v>45</c:v>
                </c:pt>
                <c:pt idx="15">
                  <c:v>2.1739130434782608</c:v>
                </c:pt>
                <c:pt idx="16">
                  <c:v>0</c:v>
                </c:pt>
                <c:pt idx="18">
                  <c:v>45</c:v>
                </c:pt>
                <c:pt idx="19">
                  <c:v>0</c:v>
                </c:pt>
              </c:numCache>
            </c:numRef>
          </c:xVal>
          <c:yVal>
            <c:numRef>
              <c:f>Feuil1!$Z$4:$Z$23</c:f>
              <c:numCache>
                <c:ptCount val="20"/>
                <c:pt idx="0">
                  <c:v>0</c:v>
                </c:pt>
                <c:pt idx="1">
                  <c:v>0.46114554269770847</c:v>
                </c:pt>
                <c:pt idx="2">
                  <c:v>0.9175033161048346</c:v>
                </c:pt>
                <c:pt idx="3">
                  <c:v>0.9175033161048346</c:v>
                </c:pt>
                <c:pt idx="4">
                  <c:v>0.9543303755202854</c:v>
                </c:pt>
                <c:pt idx="5">
                  <c:v>0.9699012029456159</c:v>
                </c:pt>
                <c:pt idx="6">
                  <c:v>0.9801090884142158</c:v>
                </c:pt>
                <c:pt idx="7">
                  <c:v>0.9882484105566482</c:v>
                </c:pt>
                <c:pt idx="8">
                  <c:v>0.995623885102685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Feuil1!$AA$3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Feuil1!$Y$4:$Y$23</c:f>
              <c:numCache>
                <c:ptCount val="20"/>
                <c:pt idx="0">
                  <c:v>0</c:v>
                </c:pt>
                <c:pt idx="1">
                  <c:v>1.0869565217391304</c:v>
                </c:pt>
                <c:pt idx="2">
                  <c:v>2.1739130434782608</c:v>
                </c:pt>
                <c:pt idx="3">
                  <c:v>2.1739130434782608</c:v>
                </c:pt>
                <c:pt idx="4">
                  <c:v>6.4565217391304355</c:v>
                </c:pt>
                <c:pt idx="5">
                  <c:v>10.73913043478261</c:v>
                </c:pt>
                <c:pt idx="6">
                  <c:v>15.021739130434781</c:v>
                </c:pt>
                <c:pt idx="7">
                  <c:v>19.30434782608696</c:v>
                </c:pt>
                <c:pt idx="8">
                  <c:v>23.586956521739133</c:v>
                </c:pt>
                <c:pt idx="9">
                  <c:v>27.869565217391305</c:v>
                </c:pt>
                <c:pt idx="10">
                  <c:v>32.15217391304348</c:v>
                </c:pt>
                <c:pt idx="11">
                  <c:v>36.434782608695656</c:v>
                </c:pt>
                <c:pt idx="12">
                  <c:v>40.71739130434783</c:v>
                </c:pt>
                <c:pt idx="13">
                  <c:v>45</c:v>
                </c:pt>
                <c:pt idx="15">
                  <c:v>2.1739130434782608</c:v>
                </c:pt>
                <c:pt idx="16">
                  <c:v>0</c:v>
                </c:pt>
                <c:pt idx="18">
                  <c:v>45</c:v>
                </c:pt>
                <c:pt idx="19">
                  <c:v>0</c:v>
                </c:pt>
              </c:numCache>
            </c:numRef>
          </c:xVal>
          <c:yVal>
            <c:numRef>
              <c:f>Feuil1!$AA$4:$AA$23</c:f>
              <c:numCache>
                <c:ptCount val="20"/>
                <c:pt idx="15">
                  <c:v>0.9175033161048346</c:v>
                </c:pt>
                <c:pt idx="16">
                  <c:v>0.9175033161048346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crossBetween val="midCat"/>
        <c:dispUnits/>
      </c:valAx>
      <c:valAx>
        <c:axId val="509955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8035794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86</xdr:row>
      <xdr:rowOff>104775</xdr:rowOff>
    </xdr:from>
    <xdr:to>
      <xdr:col>12</xdr:col>
      <xdr:colOff>419100</xdr:colOff>
      <xdr:row>106</xdr:row>
      <xdr:rowOff>123825</xdr:rowOff>
    </xdr:to>
    <xdr:graphicFrame>
      <xdr:nvGraphicFramePr>
        <xdr:cNvPr id="1" name="Chart 5"/>
        <xdr:cNvGraphicFramePr/>
      </xdr:nvGraphicFramePr>
      <xdr:xfrm>
        <a:off x="123825" y="14068425"/>
        <a:ext cx="7086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59</xdr:row>
      <xdr:rowOff>76200</xdr:rowOff>
    </xdr:from>
    <xdr:to>
      <xdr:col>8</xdr:col>
      <xdr:colOff>66675</xdr:colOff>
      <xdr:row>85</xdr:row>
      <xdr:rowOff>57150</xdr:rowOff>
    </xdr:to>
    <xdr:graphicFrame>
      <xdr:nvGraphicFramePr>
        <xdr:cNvPr id="2" name="Chart 6"/>
        <xdr:cNvGraphicFramePr/>
      </xdr:nvGraphicFramePr>
      <xdr:xfrm>
        <a:off x="352425" y="9906000"/>
        <a:ext cx="43529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86"/>
  <sheetViews>
    <sheetView showGridLines="0" tabSelected="1" view="pageBreakPreview" zoomScaleSheetLayoutView="100" workbookViewId="0" topLeftCell="A1">
      <selection activeCell="F7" sqref="F7"/>
    </sheetView>
  </sheetViews>
  <sheetFormatPr defaultColWidth="11.421875" defaultRowHeight="12"/>
  <cols>
    <col min="1" max="1" width="12.421875" style="1" customWidth="1"/>
    <col min="2" max="2" width="8.57421875" style="2" customWidth="1"/>
    <col min="3" max="3" width="8.57421875" style="1" customWidth="1"/>
    <col min="4" max="4" width="6.57421875" style="4" customWidth="1"/>
    <col min="5" max="5" width="8.57421875" style="1" customWidth="1"/>
    <col min="6" max="6" width="10.8515625" style="1" customWidth="1"/>
    <col min="7" max="7" width="7.421875" style="1" customWidth="1"/>
    <col min="8" max="8" width="6.57421875" style="1" customWidth="1"/>
    <col min="9" max="11" width="8.57421875" style="1" customWidth="1"/>
    <col min="12" max="12" width="6.57421875" style="1" customWidth="1"/>
    <col min="13" max="16384" width="8.57421875" style="1" customWidth="1"/>
  </cols>
  <sheetData>
    <row r="1" spans="2:9" ht="12.75" thickBot="1">
      <c r="B1" s="69" t="s">
        <v>118</v>
      </c>
      <c r="C1" s="69"/>
      <c r="D1" s="69"/>
      <c r="E1" s="69"/>
      <c r="F1" s="69"/>
      <c r="G1" s="69"/>
      <c r="H1" s="69"/>
      <c r="I1" s="69"/>
    </row>
    <row r="2" spans="1:23" ht="12">
      <c r="A2" s="23" t="s">
        <v>97</v>
      </c>
      <c r="K2" s="63"/>
      <c r="Q2" s="1" t="s">
        <v>96</v>
      </c>
      <c r="W2" s="1" t="s">
        <v>96</v>
      </c>
    </row>
    <row r="3" spans="11:27" ht="12.75" thickBot="1">
      <c r="K3" s="50" t="s">
        <v>89</v>
      </c>
      <c r="Q3" s="5"/>
      <c r="R3" s="6" t="s">
        <v>11</v>
      </c>
      <c r="S3" s="6" t="s">
        <v>2</v>
      </c>
      <c r="T3" s="6"/>
      <c r="U3" s="7"/>
      <c r="W3" s="2"/>
      <c r="Y3" s="55"/>
      <c r="Z3" s="58"/>
      <c r="AA3" s="7"/>
    </row>
    <row r="4" spans="1:27" ht="12.75" thickTop="1">
      <c r="A4" s="2" t="s">
        <v>25</v>
      </c>
      <c r="B4" s="70">
        <v>0.5</v>
      </c>
      <c r="C4" s="4"/>
      <c r="D4" s="4" t="s">
        <v>60</v>
      </c>
      <c r="H4" s="4"/>
      <c r="K4" s="50" t="s">
        <v>90</v>
      </c>
      <c r="P4" s="1">
        <v>0</v>
      </c>
      <c r="Q4" s="8">
        <f aca="true" t="shared" si="0" ref="Q4:Q24">B$8*P4/20</f>
        <v>0</v>
      </c>
      <c r="R4" s="9">
        <f aca="true" t="shared" si="1" ref="R4:R24">B$9*Q4*(B$8-Q4)/2+B$10*(1-Q4/B$8)+B$11*Q4/B$8</f>
        <v>-140</v>
      </c>
      <c r="S4" s="9"/>
      <c r="T4" s="9"/>
      <c r="U4" s="10"/>
      <c r="V4" s="2" t="s">
        <v>95</v>
      </c>
      <c r="W4" s="57" t="str">
        <f aca="true" t="shared" si="2" ref="W4:W17">fMRd4(Y4,B$7,E$17,E$19,E$18,B$5,B$6,B$16,B$20,B$19)</f>
        <v>000000000000000000000000000000000000000000000000000000000000000000000000000000000000000000000000000000000000000000000000000000000000000000000000000000</v>
      </c>
      <c r="Y4" s="8">
        <v>0</v>
      </c>
      <c r="Z4" s="59">
        <f aca="true" t="shared" si="3" ref="Z4:Z17">macf(W4,1)/C$41</f>
        <v>0</v>
      </c>
      <c r="AA4" s="10"/>
    </row>
    <row r="5" spans="1:27" ht="12">
      <c r="A5" s="2" t="s">
        <v>4</v>
      </c>
      <c r="B5" s="71">
        <v>0.3</v>
      </c>
      <c r="C5" s="4" t="s">
        <v>13</v>
      </c>
      <c r="D5" s="4" t="s">
        <v>26</v>
      </c>
      <c r="H5" s="4"/>
      <c r="K5" s="50" t="s">
        <v>91</v>
      </c>
      <c r="P5" s="1">
        <v>1</v>
      </c>
      <c r="Q5" s="8">
        <f t="shared" si="0"/>
        <v>0.3</v>
      </c>
      <c r="R5" s="9">
        <f t="shared" si="1"/>
        <v>-89.44999999999999</v>
      </c>
      <c r="S5" s="9"/>
      <c r="T5" s="9"/>
      <c r="U5" s="10"/>
      <c r="V5" s="2" t="s">
        <v>95</v>
      </c>
      <c r="W5" s="57" t="str">
        <f t="shared" si="2"/>
        <v>330240328133032173913301108695310188116931012490433101564967310129504331012646973101995670310199566433015701813101249043000000000000000000000000000000</v>
      </c>
      <c r="Y5" s="8">
        <f>E21/2</f>
        <v>1.0869565217391304</v>
      </c>
      <c r="Z5" s="59">
        <f t="shared" si="3"/>
        <v>0.46114554269770847</v>
      </c>
      <c r="AA5" s="10"/>
    </row>
    <row r="6" spans="1:27" ht="12">
      <c r="A6" s="2" t="s">
        <v>27</v>
      </c>
      <c r="B6" s="71">
        <v>0.44</v>
      </c>
      <c r="C6" s="4" t="s">
        <v>13</v>
      </c>
      <c r="D6" s="4" t="s">
        <v>28</v>
      </c>
      <c r="H6" s="4"/>
      <c r="K6" s="50" t="s">
        <v>92</v>
      </c>
      <c r="P6" s="1">
        <v>2</v>
      </c>
      <c r="Q6" s="8">
        <f t="shared" si="0"/>
        <v>0.6</v>
      </c>
      <c r="R6" s="9">
        <f t="shared" si="1"/>
        <v>-44.3</v>
      </c>
      <c r="S6" s="9"/>
      <c r="T6" s="9"/>
      <c r="U6" s="10"/>
      <c r="V6" s="2" t="s">
        <v>95</v>
      </c>
      <c r="W6" s="57" t="str">
        <f t="shared" si="2"/>
        <v>330280237533034347823301217391310185318231012503433101291751310128905231011266843101497835310149783433021055983101250343000000000000000000000000000000</v>
      </c>
      <c r="Y6" s="56">
        <f>E21</f>
        <v>2.1739130434782608</v>
      </c>
      <c r="Z6" s="59">
        <f t="shared" si="3"/>
        <v>0.9175033161048346</v>
      </c>
      <c r="AA6" s="10"/>
    </row>
    <row r="7" spans="1:27" ht="14.25">
      <c r="A7" s="2" t="s">
        <v>32</v>
      </c>
      <c r="B7" s="71">
        <f>1*3*1.54</f>
        <v>4.62</v>
      </c>
      <c r="C7" s="4" t="s">
        <v>33</v>
      </c>
      <c r="D7" s="4" t="s">
        <v>61</v>
      </c>
      <c r="K7" s="50" t="s">
        <v>93</v>
      </c>
      <c r="P7" s="1">
        <v>3</v>
      </c>
      <c r="Q7" s="8">
        <f t="shared" si="0"/>
        <v>0.9</v>
      </c>
      <c r="R7" s="9">
        <f t="shared" si="1"/>
        <v>-4.550000000000011</v>
      </c>
      <c r="S7" s="9"/>
      <c r="T7" s="9"/>
      <c r="U7" s="10"/>
      <c r="V7" s="2" t="s">
        <v>95</v>
      </c>
      <c r="W7" s="57" t="str">
        <f t="shared" si="2"/>
        <v>330280237533034347823301217391310185318231012503433101291751310128905231011266843101497835310149783433021055983101250343000000000000000000000000000000</v>
      </c>
      <c r="X7" s="1">
        <v>0</v>
      </c>
      <c r="Y7" s="8">
        <f aca="true" t="shared" si="4" ref="Y7:Y17">X7/10*(E$20-E$21)+E$21</f>
        <v>2.1739130434782608</v>
      </c>
      <c r="Z7" s="59">
        <f t="shared" si="3"/>
        <v>0.9175033161048346</v>
      </c>
      <c r="AA7" s="10"/>
    </row>
    <row r="8" spans="1:27" ht="12">
      <c r="A8" s="2" t="s">
        <v>1</v>
      </c>
      <c r="B8" s="71">
        <v>6</v>
      </c>
      <c r="C8" s="4" t="s">
        <v>13</v>
      </c>
      <c r="D8" s="4" t="s">
        <v>71</v>
      </c>
      <c r="I8" s="4"/>
      <c r="P8" s="1">
        <v>4</v>
      </c>
      <c r="Q8" s="8">
        <f t="shared" si="0"/>
        <v>1.2</v>
      </c>
      <c r="R8" s="9">
        <f t="shared" si="1"/>
        <v>29.799999999999983</v>
      </c>
      <c r="S8" s="9"/>
      <c r="T8" s="9"/>
      <c r="U8" s="10"/>
      <c r="V8" s="2" t="s">
        <v>95</v>
      </c>
      <c r="W8" s="57" t="str">
        <f t="shared" si="2"/>
        <v>330283458133034378973301645652310213026831012424073101189720310127943633011364483101494294310149429333021498383101242407000000000000000000000000000000</v>
      </c>
      <c r="X8" s="1">
        <v>1</v>
      </c>
      <c r="Y8" s="8">
        <f t="shared" si="4"/>
        <v>6.4565217391304355</v>
      </c>
      <c r="Z8" s="59">
        <f t="shared" si="3"/>
        <v>0.9543303755202854</v>
      </c>
      <c r="AA8" s="10"/>
    </row>
    <row r="9" spans="1:27" ht="12">
      <c r="A9" s="2" t="s">
        <v>0</v>
      </c>
      <c r="B9" s="71">
        <v>60</v>
      </c>
      <c r="C9" s="4" t="s">
        <v>14</v>
      </c>
      <c r="D9" s="4" t="s">
        <v>72</v>
      </c>
      <c r="I9" s="4"/>
      <c r="P9" s="1">
        <v>5</v>
      </c>
      <c r="Q9" s="8">
        <f t="shared" si="0"/>
        <v>1.5</v>
      </c>
      <c r="R9" s="9">
        <f t="shared" si="1"/>
        <v>58.75</v>
      </c>
      <c r="S9" s="9"/>
      <c r="T9" s="9"/>
      <c r="U9" s="10"/>
      <c r="V9" s="2" t="s">
        <v>95</v>
      </c>
      <c r="W9" s="57" t="str">
        <f t="shared" si="2"/>
        <v>330284819833034410113302107391310215607331012402123101157234310127033233011830353101490803310149080133021654673101240212000000000000000000000000000000</v>
      </c>
      <c r="X9" s="1">
        <v>2</v>
      </c>
      <c r="Y9" s="8">
        <f t="shared" si="4"/>
        <v>10.73913043478261</v>
      </c>
      <c r="Z9" s="59">
        <f t="shared" si="3"/>
        <v>0.9699012029456159</v>
      </c>
      <c r="AA9" s="10"/>
    </row>
    <row r="10" spans="1:27" ht="13.5">
      <c r="A10" s="2" t="s">
        <v>7</v>
      </c>
      <c r="B10" s="71">
        <v>-140</v>
      </c>
      <c r="C10" s="4" t="s">
        <v>15</v>
      </c>
      <c r="D10" s="4" t="str">
        <f>"moment à l'appui gauche = "&amp;ROUND(B10/B25,2)&amp;" Mo"</f>
        <v>moment à l'appui gauche = -0,52 Mo</v>
      </c>
      <c r="I10" s="4"/>
      <c r="P10" s="1">
        <v>6</v>
      </c>
      <c r="Q10" s="8">
        <f t="shared" si="0"/>
        <v>1.8</v>
      </c>
      <c r="R10" s="9">
        <f t="shared" si="1"/>
        <v>82.30000000000001</v>
      </c>
      <c r="S10" s="9"/>
      <c r="T10" s="9"/>
      <c r="U10" s="10"/>
      <c r="V10" s="2" t="s">
        <v>95</v>
      </c>
      <c r="W10" s="57" t="str">
        <f t="shared" si="2"/>
        <v>330285712533034441263302150217310217244031012393883101141312310126040333012280383101487361310148735833021666663101239388000000000000000000000000000000</v>
      </c>
      <c r="X10" s="1">
        <v>3</v>
      </c>
      <c r="Y10" s="8">
        <f t="shared" si="4"/>
        <v>15.021739130434781</v>
      </c>
      <c r="Z10" s="59">
        <f t="shared" si="3"/>
        <v>0.9801090884142158</v>
      </c>
      <c r="AA10" s="10"/>
    </row>
    <row r="11" spans="1:27" ht="14.25" thickBot="1">
      <c r="A11" s="2" t="s">
        <v>8</v>
      </c>
      <c r="B11" s="72">
        <v>-155</v>
      </c>
      <c r="C11" s="4" t="s">
        <v>15</v>
      </c>
      <c r="D11" s="4" t="str">
        <f>"moment à l'appui droit = "&amp;ROUND(B11/B25,2)&amp;" Mo"</f>
        <v>moment à l'appui droit = -0,57 Mo</v>
      </c>
      <c r="I11" s="4"/>
      <c r="P11" s="1">
        <v>7</v>
      </c>
      <c r="Q11" s="8">
        <f t="shared" si="0"/>
        <v>2.1</v>
      </c>
      <c r="R11" s="9">
        <f t="shared" si="1"/>
        <v>100.44999999999999</v>
      </c>
      <c r="S11" s="9"/>
      <c r="T11" s="9"/>
      <c r="U11" s="10"/>
      <c r="V11" s="2" t="s">
        <v>95</v>
      </c>
      <c r="W11" s="57" t="str">
        <f t="shared" si="2"/>
        <v>330286424333034472413302193043310218303731012390823101132204310125137333012736783101483967310148396733021666663101239082000000000000000000000000000000</v>
      </c>
      <c r="X11" s="1">
        <v>4</v>
      </c>
      <c r="Y11" s="8">
        <f t="shared" si="4"/>
        <v>19.30434782608696</v>
      </c>
      <c r="Z11" s="59">
        <f t="shared" si="3"/>
        <v>0.9882484105566482</v>
      </c>
      <c r="AA11" s="10"/>
    </row>
    <row r="12" spans="9:27" ht="12.75" thickTop="1">
      <c r="I12" s="4"/>
      <c r="P12" s="1">
        <v>8</v>
      </c>
      <c r="Q12" s="8">
        <f t="shared" si="0"/>
        <v>2.4</v>
      </c>
      <c r="R12" s="9">
        <f t="shared" si="1"/>
        <v>113.19999999999999</v>
      </c>
      <c r="S12" s="9"/>
      <c r="T12" s="9"/>
      <c r="U12" s="10"/>
      <c r="V12" s="2" t="s">
        <v>95</v>
      </c>
      <c r="W12" s="57" t="str">
        <f t="shared" si="2"/>
        <v>330287069333034503553302235869310219024531012389633101126315310124417633013200043101480620310148061933021666663101238963000000000000000000000000000000</v>
      </c>
      <c r="X12" s="1">
        <v>5</v>
      </c>
      <c r="Y12" s="8">
        <f t="shared" si="4"/>
        <v>23.586956521739133</v>
      </c>
      <c r="Z12" s="59">
        <f t="shared" si="3"/>
        <v>0.995623885102685</v>
      </c>
      <c r="AA12" s="10"/>
    </row>
    <row r="13" spans="2:27" ht="12.75" thickBot="1">
      <c r="B13" s="1" t="s">
        <v>41</v>
      </c>
      <c r="D13" s="1"/>
      <c r="E13" s="1" t="s">
        <v>31</v>
      </c>
      <c r="P13" s="1">
        <v>9</v>
      </c>
      <c r="Q13" s="8">
        <f t="shared" si="0"/>
        <v>2.7</v>
      </c>
      <c r="R13" s="9">
        <f t="shared" si="1"/>
        <v>120.55000000000001</v>
      </c>
      <c r="S13" s="9"/>
      <c r="T13" s="9"/>
      <c r="U13" s="10"/>
      <c r="V13" s="2" t="s">
        <v>95</v>
      </c>
      <c r="W13" s="57" t="str">
        <f t="shared" si="2"/>
        <v>330287452033034522823302262361310219357731012389363101123612310124051933013490043101478573310147857233021666663101238936000000000000000000000000000000</v>
      </c>
      <c r="X13" s="1">
        <v>6</v>
      </c>
      <c r="Y13" s="8">
        <f t="shared" si="4"/>
        <v>27.869565217391305</v>
      </c>
      <c r="Z13" s="59">
        <f t="shared" si="3"/>
        <v>1</v>
      </c>
      <c r="AA13" s="10"/>
    </row>
    <row r="14" spans="1:27" ht="14.25" thickTop="1">
      <c r="A14" s="2" t="s">
        <v>40</v>
      </c>
      <c r="B14" s="70">
        <v>25</v>
      </c>
      <c r="C14" s="4" t="s">
        <v>35</v>
      </c>
      <c r="D14" s="2" t="s">
        <v>29</v>
      </c>
      <c r="E14" s="70" t="s">
        <v>59</v>
      </c>
      <c r="P14" s="1">
        <v>10</v>
      </c>
      <c r="Q14" s="8">
        <f t="shared" si="0"/>
        <v>3</v>
      </c>
      <c r="R14" s="9">
        <f t="shared" si="1"/>
        <v>122.5</v>
      </c>
      <c r="S14" s="9"/>
      <c r="T14" s="9"/>
      <c r="U14" s="10"/>
      <c r="V14" s="2" t="s">
        <v>95</v>
      </c>
      <c r="W14" s="57" t="str">
        <f t="shared" si="2"/>
        <v>330287452033034522823302262361310219357731012389363101123612310124051933013490043101478573310147857233021666663101238936000000000000000000000000000000</v>
      </c>
      <c r="X14" s="1">
        <v>7</v>
      </c>
      <c r="Y14" s="8">
        <f t="shared" si="4"/>
        <v>32.15217391304348</v>
      </c>
      <c r="Z14" s="59">
        <f t="shared" si="3"/>
        <v>1</v>
      </c>
      <c r="AA14" s="10"/>
    </row>
    <row r="15" spans="1:27" ht="14.25" thickBot="1">
      <c r="A15" s="3" t="s">
        <v>67</v>
      </c>
      <c r="B15" s="72">
        <v>1.5</v>
      </c>
      <c r="D15" s="2" t="s">
        <v>34</v>
      </c>
      <c r="E15" s="71">
        <v>500</v>
      </c>
      <c r="F15" s="4" t="s">
        <v>35</v>
      </c>
      <c r="I15" s="4"/>
      <c r="P15" s="1">
        <v>11</v>
      </c>
      <c r="Q15" s="8">
        <f t="shared" si="0"/>
        <v>3.3</v>
      </c>
      <c r="R15" s="9">
        <f t="shared" si="1"/>
        <v>119.05000000000001</v>
      </c>
      <c r="S15" s="9"/>
      <c r="T15" s="9"/>
      <c r="U15" s="10"/>
      <c r="V15" s="2" t="s">
        <v>95</v>
      </c>
      <c r="W15" s="57" t="str">
        <f t="shared" si="2"/>
        <v>330287452033034522823302262361310219357731012389363101123612310124051933013490043101478573310147857233021666663101238936000000000000000000000000000000</v>
      </c>
      <c r="X15" s="1">
        <v>8</v>
      </c>
      <c r="Y15" s="8">
        <f t="shared" si="4"/>
        <v>36.434782608695656</v>
      </c>
      <c r="Z15" s="59">
        <f t="shared" si="3"/>
        <v>1</v>
      </c>
      <c r="AA15" s="10"/>
    </row>
    <row r="16" spans="1:27" ht="15" thickBot="1" thickTop="1">
      <c r="A16" s="2" t="s">
        <v>42</v>
      </c>
      <c r="B16" s="46">
        <f>B14/B15</f>
        <v>16.666666666666668</v>
      </c>
      <c r="C16" s="4" t="s">
        <v>35</v>
      </c>
      <c r="D16" s="3" t="s">
        <v>69</v>
      </c>
      <c r="E16" s="72">
        <v>1.15</v>
      </c>
      <c r="I16" s="4"/>
      <c r="P16" s="1">
        <v>12</v>
      </c>
      <c r="Q16" s="8">
        <f t="shared" si="0"/>
        <v>3.6</v>
      </c>
      <c r="R16" s="9">
        <f t="shared" si="1"/>
        <v>110.19999999999999</v>
      </c>
      <c r="S16" s="9"/>
      <c r="T16" s="9"/>
      <c r="U16" s="10"/>
      <c r="V16" s="2" t="s">
        <v>95</v>
      </c>
      <c r="W16" s="57" t="str">
        <f t="shared" si="2"/>
        <v>330287452033034522823302262361310219357731012389363101123612310124051933013490043101478573310147857233021666663101238936000000000000000000000000000000</v>
      </c>
      <c r="X16" s="1">
        <v>9</v>
      </c>
      <c r="Y16" s="8">
        <f t="shared" si="4"/>
        <v>40.71739130434783</v>
      </c>
      <c r="Z16" s="59">
        <f t="shared" si="3"/>
        <v>1</v>
      </c>
      <c r="AA16" s="10"/>
    </row>
    <row r="17" spans="1:27" ht="14.25" thickTop="1">
      <c r="A17" s="2" t="s">
        <v>44</v>
      </c>
      <c r="B17" s="15">
        <f>VLOOKUP(B14,tabfck,3)</f>
        <v>31</v>
      </c>
      <c r="C17" s="4" t="s">
        <v>45</v>
      </c>
      <c r="D17" s="2" t="s">
        <v>37</v>
      </c>
      <c r="E17" s="45">
        <f>E15/E16</f>
        <v>434.7826086956522</v>
      </c>
      <c r="F17" s="4" t="s">
        <v>35</v>
      </c>
      <c r="I17" s="4"/>
      <c r="P17" s="1">
        <v>13</v>
      </c>
      <c r="Q17" s="8">
        <f t="shared" si="0"/>
        <v>3.9</v>
      </c>
      <c r="R17" s="9">
        <f t="shared" si="1"/>
        <v>95.95000000000002</v>
      </c>
      <c r="S17" s="9"/>
      <c r="T17" s="9"/>
      <c r="U17" s="10"/>
      <c r="V17" s="2" t="s">
        <v>95</v>
      </c>
      <c r="W17" s="57" t="str">
        <f t="shared" si="2"/>
        <v>330287452033034522823302262361310219357731012389363101123612310124051933013490043101478573310147857233021666663101238936000000000000000000000000000000</v>
      </c>
      <c r="X17" s="1">
        <v>10</v>
      </c>
      <c r="Y17" s="31">
        <f t="shared" si="4"/>
        <v>45</v>
      </c>
      <c r="Z17" s="59">
        <f t="shared" si="3"/>
        <v>1</v>
      </c>
      <c r="AA17" s="10"/>
    </row>
    <row r="18" spans="1:27" ht="13.5">
      <c r="A18" s="3" t="s">
        <v>47</v>
      </c>
      <c r="B18" s="18">
        <f>200/B17</f>
        <v>6.451612903225806</v>
      </c>
      <c r="C18" s="4"/>
      <c r="D18" s="3" t="s">
        <v>38</v>
      </c>
      <c r="E18" s="15">
        <f>VLOOKUP(E14,tabac,3)</f>
        <v>50</v>
      </c>
      <c r="F18" s="16" t="s">
        <v>39</v>
      </c>
      <c r="I18" s="4"/>
      <c r="P18" s="1">
        <v>14</v>
      </c>
      <c r="Q18" s="8">
        <f t="shared" si="0"/>
        <v>4.2</v>
      </c>
      <c r="R18" s="9">
        <f t="shared" si="1"/>
        <v>76.29999999999998</v>
      </c>
      <c r="S18" s="9"/>
      <c r="T18" s="9"/>
      <c r="U18" s="10"/>
      <c r="W18" s="2"/>
      <c r="Y18" s="60"/>
      <c r="Z18" s="9"/>
      <c r="AA18" s="10"/>
    </row>
    <row r="19" spans="1:27" ht="13.5">
      <c r="A19" s="3" t="s">
        <v>48</v>
      </c>
      <c r="B19" s="15">
        <f>VLOOKUP(B14,tabfck,7)</f>
        <v>2</v>
      </c>
      <c r="C19" s="4"/>
      <c r="D19" s="2" t="s">
        <v>12</v>
      </c>
      <c r="E19" s="44">
        <f>VLOOKUP(E14,tabac,2)</f>
        <v>1.08</v>
      </c>
      <c r="F19" s="4"/>
      <c r="I19" s="4"/>
      <c r="P19" s="1">
        <v>15</v>
      </c>
      <c r="Q19" s="8">
        <f t="shared" si="0"/>
        <v>4.5</v>
      </c>
      <c r="R19" s="9">
        <f t="shared" si="1"/>
        <v>51.25</v>
      </c>
      <c r="S19" s="9"/>
      <c r="T19" s="9"/>
      <c r="U19" s="10"/>
      <c r="W19" s="2"/>
      <c r="Y19" s="61">
        <f>Y6</f>
        <v>2.1739130434782608</v>
      </c>
      <c r="Z19" s="9"/>
      <c r="AA19" s="10">
        <f>Z6</f>
        <v>0.9175033161048346</v>
      </c>
    </row>
    <row r="20" spans="1:27" ht="13.5">
      <c r="A20" s="3" t="s">
        <v>49</v>
      </c>
      <c r="B20" s="20">
        <f>VLOOKUP(B14,tabfck,6)</f>
        <v>3.5</v>
      </c>
      <c r="C20" s="4"/>
      <c r="D20" s="3" t="s">
        <v>43</v>
      </c>
      <c r="E20" s="15">
        <f>0.9*E18</f>
        <v>45</v>
      </c>
      <c r="F20" s="16" t="s">
        <v>39</v>
      </c>
      <c r="I20" s="4"/>
      <c r="P20" s="1">
        <v>16</v>
      </c>
      <c r="Q20" s="8">
        <f t="shared" si="0"/>
        <v>4.8</v>
      </c>
      <c r="R20" s="9">
        <f t="shared" si="1"/>
        <v>20.80000000000001</v>
      </c>
      <c r="S20" s="9"/>
      <c r="T20" s="9"/>
      <c r="U20" s="10"/>
      <c r="W20" s="2"/>
      <c r="Y20" s="61">
        <v>0</v>
      </c>
      <c r="Z20" s="9"/>
      <c r="AA20" s="10">
        <f>AA19</f>
        <v>0.9175033161048346</v>
      </c>
    </row>
    <row r="21" spans="4:27" ht="13.5">
      <c r="D21" s="3" t="s">
        <v>46</v>
      </c>
      <c r="E21" s="18">
        <f>E17/200</f>
        <v>2.1739130434782608</v>
      </c>
      <c r="F21" s="16" t="s">
        <v>39</v>
      </c>
      <c r="I21" s="4"/>
      <c r="P21" s="1">
        <v>17</v>
      </c>
      <c r="Q21" s="8">
        <f t="shared" si="0"/>
        <v>5.1</v>
      </c>
      <c r="R21" s="9">
        <f t="shared" si="1"/>
        <v>-15.049999999999955</v>
      </c>
      <c r="S21" s="9"/>
      <c r="T21" s="9"/>
      <c r="U21" s="10"/>
      <c r="W21" s="2"/>
      <c r="Y21" s="60"/>
      <c r="Z21" s="9"/>
      <c r="AA21" s="10"/>
    </row>
    <row r="22" spans="2:27" ht="13.5">
      <c r="B22" s="1"/>
      <c r="C22" s="4"/>
      <c r="D22" s="3" t="s">
        <v>62</v>
      </c>
      <c r="E22" s="19">
        <f>(1+(E19-1)*(E20-E21)/(E18-E21))*E17</f>
        <v>465.92885375494075</v>
      </c>
      <c r="F22" s="4" t="s">
        <v>35</v>
      </c>
      <c r="I22" s="4"/>
      <c r="P22" s="1">
        <v>18</v>
      </c>
      <c r="Q22" s="8">
        <f t="shared" si="0"/>
        <v>5.4</v>
      </c>
      <c r="R22" s="9">
        <f t="shared" si="1"/>
        <v>-56.300000000000054</v>
      </c>
      <c r="S22" s="9"/>
      <c r="T22" s="9"/>
      <c r="U22" s="10"/>
      <c r="W22" s="2"/>
      <c r="Y22" s="60">
        <f>Y17</f>
        <v>45</v>
      </c>
      <c r="Z22" s="9"/>
      <c r="AA22" s="10">
        <f>Z17</f>
        <v>1</v>
      </c>
    </row>
    <row r="23" spans="16:27" ht="12">
      <c r="P23" s="1">
        <v>19</v>
      </c>
      <c r="Q23" s="8">
        <f t="shared" si="0"/>
        <v>5.7</v>
      </c>
      <c r="R23" s="9">
        <f t="shared" si="1"/>
        <v>-102.95000000000002</v>
      </c>
      <c r="S23" s="9"/>
      <c r="T23" s="9"/>
      <c r="U23" s="10"/>
      <c r="W23" s="2"/>
      <c r="Y23" s="62">
        <v>0</v>
      </c>
      <c r="Z23" s="12"/>
      <c r="AA23" s="13">
        <f>AA22</f>
        <v>1</v>
      </c>
    </row>
    <row r="24" spans="1:21" ht="13.5">
      <c r="A24" s="3" t="s">
        <v>36</v>
      </c>
      <c r="B24" s="47">
        <f>B7/B5/B6/10000</f>
        <v>0.0035</v>
      </c>
      <c r="C24" s="4"/>
      <c r="D24" s="4" t="s">
        <v>88</v>
      </c>
      <c r="P24" s="1">
        <v>20</v>
      </c>
      <c r="Q24" s="8">
        <f t="shared" si="0"/>
        <v>6</v>
      </c>
      <c r="R24" s="9">
        <f t="shared" si="1"/>
        <v>-155</v>
      </c>
      <c r="S24" s="9"/>
      <c r="T24" s="9"/>
      <c r="U24" s="10"/>
    </row>
    <row r="25" spans="1:21" ht="13.5">
      <c r="A25" s="2" t="s">
        <v>70</v>
      </c>
      <c r="B25" s="15">
        <f>B9*B8^2/8</f>
        <v>270</v>
      </c>
      <c r="C25" s="4" t="s">
        <v>15</v>
      </c>
      <c r="D25" s="4" t="s">
        <v>87</v>
      </c>
      <c r="Q25" s="8"/>
      <c r="R25" s="9"/>
      <c r="S25" s="9"/>
      <c r="T25" s="9"/>
      <c r="U25" s="10"/>
    </row>
    <row r="26" spans="1:21" ht="13.5">
      <c r="A26" s="2" t="s">
        <v>70</v>
      </c>
      <c r="B26" s="19">
        <f>B41</f>
        <v>80.2375</v>
      </c>
      <c r="C26" s="4" t="s">
        <v>15</v>
      </c>
      <c r="D26" s="4" t="str">
        <f>"moment résistant du lit étudié = "&amp;ROUND(B26/B25,2)&amp;" Mo"</f>
        <v>moment résistant du lit étudié = 0,3 Mo</v>
      </c>
      <c r="Q26" s="8">
        <v>0</v>
      </c>
      <c r="R26" s="9"/>
      <c r="S26" s="9">
        <f>B26</f>
        <v>80.2375</v>
      </c>
      <c r="T26" s="9"/>
      <c r="U26" s="10"/>
    </row>
    <row r="27" spans="1:21" ht="12">
      <c r="A27" s="2"/>
      <c r="B27" s="68"/>
      <c r="C27" s="4"/>
      <c r="Q27" s="11">
        <f>B51</f>
        <v>4.145972214101015</v>
      </c>
      <c r="R27" s="9"/>
      <c r="S27" s="9">
        <f>S26</f>
        <v>80.2375</v>
      </c>
      <c r="T27" s="9"/>
      <c r="U27" s="10"/>
    </row>
    <row r="28" spans="1:21" ht="12">
      <c r="A28" s="23" t="s">
        <v>117</v>
      </c>
      <c r="Q28" s="8"/>
      <c r="R28" s="9"/>
      <c r="S28" s="9"/>
      <c r="T28" s="9"/>
      <c r="U28" s="10"/>
    </row>
    <row r="29" spans="2:21" ht="12">
      <c r="B29" s="29" t="str">
        <f>fMRd4(B30,B$7,E$17,E$19,E$18,B$5,B$6,B$16,B$20,B$19)</f>
        <v>330280237533034347823301217391310185318231012503433101291751310128905231011266843101497835310149783433021055983101250343000000000000000000000000000000</v>
      </c>
      <c r="C29" s="30" t="str">
        <f>fMRd4(C30,B$7,E$17,E$19,E$18,B$5,B$6,B$16,B$20,B$19)</f>
        <v>330287452033034522823302262361310219357731012389363101123612310124051933013490043101478573310147857233021666663101238936000000000000000000000000000000</v>
      </c>
      <c r="D29" s="54" t="s">
        <v>101</v>
      </c>
      <c r="Q29" s="11">
        <f>B50-B54</f>
        <v>1.677802471941603</v>
      </c>
      <c r="R29" s="9"/>
      <c r="S29" s="9"/>
      <c r="T29" s="9">
        <f>S26</f>
        <v>80.2375</v>
      </c>
      <c r="U29" s="10"/>
    </row>
    <row r="30" spans="1:21" ht="13.5">
      <c r="A30" s="2" t="s">
        <v>50</v>
      </c>
      <c r="B30" s="22">
        <f>E21</f>
        <v>2.1739130434782608</v>
      </c>
      <c r="C30" s="14">
        <f>E20</f>
        <v>45</v>
      </c>
      <c r="D30" s="16" t="s">
        <v>39</v>
      </c>
      <c r="E30" s="4"/>
      <c r="Q30" s="11">
        <f>B51+B57</f>
        <v>4.238864194725064</v>
      </c>
      <c r="R30" s="9"/>
      <c r="S30" s="9"/>
      <c r="T30" s="9">
        <f>T29</f>
        <v>80.2375</v>
      </c>
      <c r="U30" s="10"/>
    </row>
    <row r="31" spans="1:21" ht="13.5">
      <c r="A31" s="3" t="s">
        <v>53</v>
      </c>
      <c r="B31" s="21">
        <f>macf(B$29,8)</f>
        <v>0.7893656657510024</v>
      </c>
      <c r="C31" s="21">
        <f>macf(C$29,8)</f>
        <v>3.4900400000000005</v>
      </c>
      <c r="D31" s="16" t="s">
        <v>39</v>
      </c>
      <c r="E31" s="4" t="s">
        <v>113</v>
      </c>
      <c r="I31" s="16"/>
      <c r="Q31" s="8"/>
      <c r="R31" s="9"/>
      <c r="S31" s="9"/>
      <c r="T31" s="9"/>
      <c r="U31" s="10"/>
    </row>
    <row r="32" spans="1:21" ht="13.5">
      <c r="A32" s="2" t="s">
        <v>52</v>
      </c>
      <c r="B32" s="21">
        <f>macf(B$29,4)</f>
        <v>0.11720828615699813</v>
      </c>
      <c r="C32" s="21">
        <f>macf(C$29,4)</f>
        <v>0.05165902974010342</v>
      </c>
      <c r="D32" s="4" t="s">
        <v>13</v>
      </c>
      <c r="E32" s="4" t="s">
        <v>106</v>
      </c>
      <c r="Q32" s="11">
        <f>Q29</f>
        <v>1.677802471941603</v>
      </c>
      <c r="R32" s="9"/>
      <c r="S32" s="9">
        <v>0</v>
      </c>
      <c r="T32" s="9"/>
      <c r="U32" s="10"/>
    </row>
    <row r="33" spans="1:21" ht="12">
      <c r="A33" s="2" t="s">
        <v>23</v>
      </c>
      <c r="B33" s="21">
        <f>macf(B$29,6)</f>
        <v>0.3427580368190683</v>
      </c>
      <c r="C33" s="21">
        <f>macf(C$29,6)</f>
        <v>0.8089829466394848</v>
      </c>
      <c r="E33" s="4" t="s">
        <v>115</v>
      </c>
      <c r="Q33" s="11">
        <f>Q32</f>
        <v>1.677802471941603</v>
      </c>
      <c r="R33" s="9"/>
      <c r="S33" s="9">
        <f>S26</f>
        <v>80.2375</v>
      </c>
      <c r="T33" s="9"/>
      <c r="U33" s="10"/>
    </row>
    <row r="34" spans="1:21" ht="12">
      <c r="A34" s="2" t="s">
        <v>24</v>
      </c>
      <c r="B34" s="21">
        <f>macf(B$29,7)</f>
        <v>0.34595851265516236</v>
      </c>
      <c r="C34" s="21">
        <f>macf(C$29,7)</f>
        <v>0.4157675692980596</v>
      </c>
      <c r="E34" s="4" t="s">
        <v>114</v>
      </c>
      <c r="F34" s="26"/>
      <c r="Q34" s="8"/>
      <c r="R34" s="9"/>
      <c r="S34" s="9"/>
      <c r="T34" s="9"/>
      <c r="U34" s="10"/>
    </row>
    <row r="35" spans="1:21" ht="13.5">
      <c r="A35" s="3" t="s">
        <v>51</v>
      </c>
      <c r="B35" s="17">
        <f>macf(B$29,2)</f>
        <v>434.782</v>
      </c>
      <c r="C35" s="17">
        <f>macf(C$29,2)</f>
        <v>452.282</v>
      </c>
      <c r="D35" s="4" t="s">
        <v>35</v>
      </c>
      <c r="E35" s="48" t="s">
        <v>102</v>
      </c>
      <c r="Q35" s="11">
        <f>Q30</f>
        <v>4.238864194725064</v>
      </c>
      <c r="R35" s="9"/>
      <c r="S35" s="9">
        <v>0</v>
      </c>
      <c r="T35" s="9"/>
      <c r="U35" s="10"/>
    </row>
    <row r="36" spans="1:21" ht="13.5">
      <c r="A36" s="2" t="s">
        <v>54</v>
      </c>
      <c r="B36" s="28">
        <f>macf(B$29,9)</f>
        <v>0.20086976608715737</v>
      </c>
      <c r="C36" s="28">
        <f>macf(C$29,9)</f>
        <v>0.20895453776121928</v>
      </c>
      <c r="D36" s="4" t="s">
        <v>105</v>
      </c>
      <c r="E36" s="48" t="s">
        <v>103</v>
      </c>
      <c r="I36" s="4" t="s">
        <v>111</v>
      </c>
      <c r="Q36" s="11">
        <f>Q35</f>
        <v>4.238864194725064</v>
      </c>
      <c r="R36" s="9"/>
      <c r="S36" s="9">
        <f>S33</f>
        <v>80.2375</v>
      </c>
      <c r="T36" s="9"/>
      <c r="U36" s="10"/>
    </row>
    <row r="37" spans="1:21" ht="13.5">
      <c r="A37" s="2" t="s">
        <v>55</v>
      </c>
      <c r="B37" s="28">
        <f>macf(B$29,10)</f>
        <v>0.20087016957459713</v>
      </c>
      <c r="C37" s="28">
        <f>macf(C$29,10)</f>
        <v>0.20895497438212013</v>
      </c>
      <c r="D37" s="4" t="s">
        <v>105</v>
      </c>
      <c r="E37" s="48" t="s">
        <v>104</v>
      </c>
      <c r="I37" s="4" t="s">
        <v>112</v>
      </c>
      <c r="Q37" s="8"/>
      <c r="R37" s="9"/>
      <c r="S37" s="9"/>
      <c r="T37" s="9"/>
      <c r="U37" s="10"/>
    </row>
    <row r="38" spans="1:21" ht="13.5">
      <c r="A38" s="2" t="s">
        <v>57</v>
      </c>
      <c r="B38" s="64">
        <f>B37/B36</f>
        <v>1.0000020087016956</v>
      </c>
      <c r="C38" s="65" t="str">
        <f>IF(ABS(B38-1)&lt;0.005,"OK","KO")</f>
        <v>OK</v>
      </c>
      <c r="E38" s="4" t="s">
        <v>116</v>
      </c>
      <c r="Q38" s="8">
        <v>0</v>
      </c>
      <c r="R38" s="9"/>
      <c r="S38" s="9"/>
      <c r="T38" s="9"/>
      <c r="U38" s="10">
        <f>R4</f>
        <v>-140</v>
      </c>
    </row>
    <row r="39" spans="1:25" ht="13.5">
      <c r="A39" s="3" t="s">
        <v>56</v>
      </c>
      <c r="B39" s="18">
        <f>macf(B$29,11)</f>
        <v>10.559800000000001</v>
      </c>
      <c r="C39" s="18">
        <f>macf(C$29,11)</f>
        <v>16.666600000000003</v>
      </c>
      <c r="D39" s="4" t="s">
        <v>35</v>
      </c>
      <c r="E39" s="48" t="s">
        <v>109</v>
      </c>
      <c r="Q39" s="8">
        <v>0</v>
      </c>
      <c r="R39" s="9"/>
      <c r="S39" s="9"/>
      <c r="T39" s="9"/>
      <c r="U39" s="10">
        <v>0</v>
      </c>
      <c r="W39" s="5" t="s">
        <v>30</v>
      </c>
      <c r="X39" s="6">
        <v>1.05</v>
      </c>
      <c r="Y39" s="7">
        <v>25</v>
      </c>
    </row>
    <row r="40" spans="1:25" ht="12">
      <c r="A40" s="2" t="s">
        <v>22</v>
      </c>
      <c r="B40" s="15">
        <f>macf(B$29,5)</f>
        <v>0.39945195192196303</v>
      </c>
      <c r="C40" s="15">
        <f>macf(C$29,5)</f>
        <v>0.4185221147085411</v>
      </c>
      <c r="D40" s="4" t="s">
        <v>13</v>
      </c>
      <c r="E40" s="4" t="s">
        <v>94</v>
      </c>
      <c r="G40" s="24"/>
      <c r="Q40" s="8"/>
      <c r="R40" s="9"/>
      <c r="S40" s="9"/>
      <c r="T40" s="9"/>
      <c r="U40" s="10"/>
      <c r="W40" s="8" t="s">
        <v>59</v>
      </c>
      <c r="X40" s="9">
        <v>1.08</v>
      </c>
      <c r="Y40" s="10">
        <v>50</v>
      </c>
    </row>
    <row r="41" spans="1:25" ht="13.5">
      <c r="A41" s="2" t="s">
        <v>77</v>
      </c>
      <c r="B41" s="17">
        <f>macf(B$29,1)</f>
        <v>80.2375</v>
      </c>
      <c r="C41" s="17">
        <f>macf(C$29,1)</f>
        <v>87.452</v>
      </c>
      <c r="D41" s="4" t="s">
        <v>15</v>
      </c>
      <c r="E41" s="48" t="s">
        <v>107</v>
      </c>
      <c r="G41" s="24"/>
      <c r="Q41" s="8">
        <f>Q24</f>
        <v>6</v>
      </c>
      <c r="R41" s="9"/>
      <c r="S41" s="9"/>
      <c r="T41" s="9"/>
      <c r="U41" s="10">
        <f>R24</f>
        <v>-155</v>
      </c>
      <c r="W41" s="8" t="s">
        <v>68</v>
      </c>
      <c r="X41" s="9">
        <v>1.05</v>
      </c>
      <c r="Y41" s="10">
        <v>75</v>
      </c>
    </row>
    <row r="42" spans="1:25" ht="13.5">
      <c r="A42" s="1" t="s">
        <v>108</v>
      </c>
      <c r="B42" s="66">
        <f>B41/C41</f>
        <v>0.9175033161048346</v>
      </c>
      <c r="C42" s="67">
        <f>1-B42</f>
        <v>0.0824966838951654</v>
      </c>
      <c r="D42" s="4" t="str">
        <f>"kNm moment résistant : rapport = "&amp;ROUND(B41/C41,3)</f>
        <v>kNm moment résistant : rapport = 0,918</v>
      </c>
      <c r="F42" s="26"/>
      <c r="G42" s="24"/>
      <c r="Q42" s="31">
        <f>Q41</f>
        <v>6</v>
      </c>
      <c r="R42" s="12"/>
      <c r="S42" s="12"/>
      <c r="T42" s="12"/>
      <c r="U42" s="13">
        <v>0</v>
      </c>
      <c r="W42" s="31" t="s">
        <v>6</v>
      </c>
      <c r="X42" s="12">
        <v>1</v>
      </c>
      <c r="Y42" s="13">
        <v>25</v>
      </c>
    </row>
    <row r="43" spans="6:7" ht="12">
      <c r="F43" s="26"/>
      <c r="G43" s="24"/>
    </row>
    <row r="44" spans="1:25" ht="12">
      <c r="A44" s="23" t="s">
        <v>110</v>
      </c>
      <c r="D44" s="1"/>
      <c r="Q44" s="32">
        <v>1</v>
      </c>
      <c r="R44" s="33">
        <v>2</v>
      </c>
      <c r="S44" s="33">
        <v>3</v>
      </c>
      <c r="T44" s="33">
        <v>4</v>
      </c>
      <c r="U44" s="33">
        <v>5</v>
      </c>
      <c r="V44" s="33">
        <v>6</v>
      </c>
      <c r="W44" s="33">
        <v>7</v>
      </c>
      <c r="X44" s="33">
        <v>8</v>
      </c>
      <c r="Y44" s="34">
        <v>9</v>
      </c>
    </row>
    <row r="45" spans="1:25" ht="13.5">
      <c r="A45" s="2" t="s">
        <v>12</v>
      </c>
      <c r="B45" s="27">
        <f>1-B41/C41</f>
        <v>0.0824966838951654</v>
      </c>
      <c r="C45" s="25" t="s">
        <v>58</v>
      </c>
      <c r="D45" s="1"/>
      <c r="Q45" s="35" t="s">
        <v>40</v>
      </c>
      <c r="R45" s="36" t="s">
        <v>63</v>
      </c>
      <c r="S45" s="36" t="s">
        <v>44</v>
      </c>
      <c r="T45" s="37" t="s">
        <v>64</v>
      </c>
      <c r="U45" s="37" t="s">
        <v>65</v>
      </c>
      <c r="V45" s="37" t="s">
        <v>49</v>
      </c>
      <c r="W45" s="37" t="s">
        <v>48</v>
      </c>
      <c r="X45" s="36" t="s">
        <v>66</v>
      </c>
      <c r="Y45" s="38" t="s">
        <v>12</v>
      </c>
    </row>
    <row r="46" spans="1:25" ht="12">
      <c r="A46" s="2" t="s">
        <v>3</v>
      </c>
      <c r="B46" s="15">
        <f>-B9/2</f>
        <v>-30</v>
      </c>
      <c r="C46" s="48" t="s">
        <v>74</v>
      </c>
      <c r="D46" s="1"/>
      <c r="Q46" s="35">
        <v>12</v>
      </c>
      <c r="R46" s="36">
        <v>1.6</v>
      </c>
      <c r="S46" s="36">
        <v>27</v>
      </c>
      <c r="T46" s="36">
        <v>3.5</v>
      </c>
      <c r="U46" s="36">
        <v>1.8</v>
      </c>
      <c r="V46" s="36">
        <v>3.5</v>
      </c>
      <c r="W46" s="36">
        <v>2</v>
      </c>
      <c r="X46" s="36">
        <v>2</v>
      </c>
      <c r="Y46" s="39">
        <f>1.05*S46/1.2*U46/Q46*B15</f>
        <v>5.315625000000001</v>
      </c>
    </row>
    <row r="47" spans="1:25" ht="13.5">
      <c r="A47" s="2" t="s">
        <v>4</v>
      </c>
      <c r="B47" s="15">
        <f>B9*B8/2-B10/B8+B11/B8</f>
        <v>177.5</v>
      </c>
      <c r="C47" s="48" t="s">
        <v>75</v>
      </c>
      <c r="D47" s="1"/>
      <c r="Q47" s="35">
        <v>16</v>
      </c>
      <c r="R47" s="36">
        <v>1.9</v>
      </c>
      <c r="S47" s="36">
        <v>29</v>
      </c>
      <c r="T47" s="36">
        <v>3.5</v>
      </c>
      <c r="U47" s="36">
        <v>1.9</v>
      </c>
      <c r="V47" s="36">
        <v>3.5</v>
      </c>
      <c r="W47" s="36">
        <v>2</v>
      </c>
      <c r="X47" s="36">
        <v>2</v>
      </c>
      <c r="Y47" s="39">
        <f>1.05*S47/1.2*U47/Q47*B15</f>
        <v>4.5199218750000005</v>
      </c>
    </row>
    <row r="48" spans="1:25" ht="13.5">
      <c r="A48" s="2" t="s">
        <v>5</v>
      </c>
      <c r="B48" s="15">
        <f>B10-B26</f>
        <v>-220.2375</v>
      </c>
      <c r="C48" s="48" t="s">
        <v>76</v>
      </c>
      <c r="D48" s="1"/>
      <c r="Q48" s="35">
        <v>20</v>
      </c>
      <c r="R48" s="36">
        <v>2.2</v>
      </c>
      <c r="S48" s="36">
        <v>30</v>
      </c>
      <c r="T48" s="36">
        <v>3.5</v>
      </c>
      <c r="U48" s="36">
        <v>2</v>
      </c>
      <c r="V48" s="36">
        <v>3.5</v>
      </c>
      <c r="W48" s="36">
        <v>2</v>
      </c>
      <c r="X48" s="36">
        <v>2</v>
      </c>
      <c r="Y48" s="39">
        <f>1.05*S48/1.2*U48/Q48*B15</f>
        <v>3.9375</v>
      </c>
    </row>
    <row r="49" spans="1:25" ht="13.5">
      <c r="A49" s="3" t="s">
        <v>6</v>
      </c>
      <c r="B49" s="15">
        <f>B47^2-4*B46*B48</f>
        <v>5077.75</v>
      </c>
      <c r="C49" s="48" t="s">
        <v>78</v>
      </c>
      <c r="D49" s="1"/>
      <c r="Q49" s="35">
        <v>25</v>
      </c>
      <c r="R49" s="36">
        <v>2.6</v>
      </c>
      <c r="S49" s="36">
        <v>31</v>
      </c>
      <c r="T49" s="36">
        <v>3.5</v>
      </c>
      <c r="U49" s="36">
        <v>2.1</v>
      </c>
      <c r="V49" s="36">
        <v>3.5</v>
      </c>
      <c r="W49" s="36">
        <v>2</v>
      </c>
      <c r="X49" s="36">
        <v>2</v>
      </c>
      <c r="Y49" s="39">
        <f>1.05*S49/1.2*U49/Q49*B15</f>
        <v>3.4177500000000007</v>
      </c>
    </row>
    <row r="50" spans="1:25" ht="14.25">
      <c r="A50" s="2" t="s">
        <v>9</v>
      </c>
      <c r="B50" s="21">
        <f>(-B47+SQRT(B49))/2/B46</f>
        <v>1.770694452565652</v>
      </c>
      <c r="C50" s="4" t="s">
        <v>79</v>
      </c>
      <c r="D50" s="1"/>
      <c r="Q50" s="35">
        <v>30</v>
      </c>
      <c r="R50" s="36">
        <v>2.9</v>
      </c>
      <c r="S50" s="36">
        <v>33</v>
      </c>
      <c r="T50" s="36">
        <v>3.5</v>
      </c>
      <c r="U50" s="36">
        <v>2.2</v>
      </c>
      <c r="V50" s="36">
        <v>3.5</v>
      </c>
      <c r="W50" s="36">
        <v>2</v>
      </c>
      <c r="X50" s="36">
        <v>2</v>
      </c>
      <c r="Y50" s="39">
        <f>1.05*S50/1.2*U50/Q50*B15</f>
        <v>3.1762500000000005</v>
      </c>
    </row>
    <row r="51" spans="1:25" ht="14.25">
      <c r="A51" s="2" t="s">
        <v>10</v>
      </c>
      <c r="B51" s="21">
        <f>(-B47-SQRT(B49))/2/B46</f>
        <v>4.145972214101015</v>
      </c>
      <c r="C51" s="4" t="s">
        <v>80</v>
      </c>
      <c r="D51" s="1"/>
      <c r="Q51" s="40">
        <v>35</v>
      </c>
      <c r="R51" s="36">
        <v>3.2</v>
      </c>
      <c r="S51" s="36">
        <v>34</v>
      </c>
      <c r="T51" s="36">
        <v>3.5</v>
      </c>
      <c r="U51" s="36">
        <v>2.25</v>
      </c>
      <c r="V51" s="36">
        <v>3.5</v>
      </c>
      <c r="W51" s="36">
        <v>2</v>
      </c>
      <c r="X51" s="36">
        <v>2</v>
      </c>
      <c r="Y51" s="39">
        <f>1.05*S51/1.2*U51/Q51*B15</f>
        <v>2.8687500000000004</v>
      </c>
    </row>
    <row r="52" spans="1:25" ht="13.5">
      <c r="A52" s="2" t="s">
        <v>17</v>
      </c>
      <c r="B52" s="18">
        <f>B9*(B8/2-B50)+(B11-B10)/B8</f>
        <v>71.25833284606088</v>
      </c>
      <c r="C52" s="4" t="s">
        <v>81</v>
      </c>
      <c r="D52" s="1"/>
      <c r="Q52" s="40">
        <v>40</v>
      </c>
      <c r="R52" s="36">
        <v>3.5</v>
      </c>
      <c r="S52" s="36">
        <v>35</v>
      </c>
      <c r="T52" s="36">
        <v>3.5</v>
      </c>
      <c r="U52" s="36">
        <v>2.3</v>
      </c>
      <c r="V52" s="36">
        <v>3.5</v>
      </c>
      <c r="W52" s="36">
        <v>2</v>
      </c>
      <c r="X52" s="36">
        <v>2</v>
      </c>
      <c r="Y52" s="39">
        <f>1.05*S52/1.2*U52/Q52*B15</f>
        <v>2.64140625</v>
      </c>
    </row>
    <row r="53" spans="1:25" ht="13.5">
      <c r="A53" s="2" t="s">
        <v>18</v>
      </c>
      <c r="B53" s="18">
        <f>B9*B50*(B8-B50)/2+B10*(1-B50/B8)+B11*B50/B8</f>
        <v>80.23750000000001</v>
      </c>
      <c r="C53" s="4" t="s">
        <v>82</v>
      </c>
      <c r="D53" s="1"/>
      <c r="Q53" s="35">
        <v>45</v>
      </c>
      <c r="R53" s="36">
        <v>3.8</v>
      </c>
      <c r="S53" s="36">
        <v>36</v>
      </c>
      <c r="T53" s="36">
        <v>3.5</v>
      </c>
      <c r="U53" s="36">
        <v>2.4</v>
      </c>
      <c r="V53" s="36">
        <v>3.5</v>
      </c>
      <c r="W53" s="36">
        <v>2</v>
      </c>
      <c r="X53" s="36">
        <v>2</v>
      </c>
      <c r="Y53" s="39">
        <f>1.05*S53/1.2*U53/Q53*B15</f>
        <v>2.5200000000000005</v>
      </c>
    </row>
    <row r="54" spans="1:25" ht="13.5">
      <c r="A54" s="3" t="s">
        <v>16</v>
      </c>
      <c r="B54" s="51">
        <f>B45*B53/B52</f>
        <v>0.09289198062404919</v>
      </c>
      <c r="C54" s="4" t="s">
        <v>83</v>
      </c>
      <c r="D54" s="1"/>
      <c r="Q54" s="35">
        <v>50</v>
      </c>
      <c r="R54" s="36">
        <v>4.1</v>
      </c>
      <c r="S54" s="36">
        <v>37</v>
      </c>
      <c r="T54" s="36">
        <v>3.5</v>
      </c>
      <c r="U54" s="36">
        <v>2.45</v>
      </c>
      <c r="V54" s="36">
        <v>3.5</v>
      </c>
      <c r="W54" s="36">
        <v>2</v>
      </c>
      <c r="X54" s="36">
        <v>2</v>
      </c>
      <c r="Y54" s="39">
        <f>1.05*S54/1.2*U54/Q54*B15</f>
        <v>2.3795625</v>
      </c>
    </row>
    <row r="55" spans="1:25" ht="13.5">
      <c r="A55" s="2" t="s">
        <v>19</v>
      </c>
      <c r="B55" s="18">
        <f>ABS(B9*(B8/2-B51)+(B11-B10)/B8)</f>
        <v>71.25833284606088</v>
      </c>
      <c r="C55" s="4" t="s">
        <v>84</v>
      </c>
      <c r="D55" s="1"/>
      <c r="Q55" s="35">
        <v>55</v>
      </c>
      <c r="R55" s="36">
        <v>4.2</v>
      </c>
      <c r="S55" s="36">
        <v>38</v>
      </c>
      <c r="T55" s="36">
        <v>3.2</v>
      </c>
      <c r="U55" s="36">
        <v>2.5</v>
      </c>
      <c r="V55" s="36">
        <v>3.1</v>
      </c>
      <c r="W55" s="36">
        <v>2.2</v>
      </c>
      <c r="X55" s="36">
        <v>1.75</v>
      </c>
      <c r="Y55" s="39">
        <f>1.05*S55/1.2*U55/Q55*B15</f>
        <v>2.2670454545454546</v>
      </c>
    </row>
    <row r="56" spans="1:25" ht="13.5">
      <c r="A56" s="2" t="s">
        <v>20</v>
      </c>
      <c r="B56" s="15">
        <f>B9*B51*(B8-B51)/2+B10*(1-B51/B8)+B11*B51/B8</f>
        <v>80.23750000000003</v>
      </c>
      <c r="C56" s="4" t="s">
        <v>85</v>
      </c>
      <c r="D56" s="1"/>
      <c r="Q56" s="35">
        <v>60</v>
      </c>
      <c r="R56" s="36">
        <v>4.4</v>
      </c>
      <c r="S56" s="36">
        <v>39</v>
      </c>
      <c r="T56" s="36">
        <v>3</v>
      </c>
      <c r="U56" s="36">
        <v>2.6</v>
      </c>
      <c r="V56" s="36">
        <v>2.9</v>
      </c>
      <c r="W56" s="36">
        <v>2.3</v>
      </c>
      <c r="X56" s="36">
        <v>1.6</v>
      </c>
      <c r="Y56" s="39">
        <f>1.05*S56/1.2*U56/Q56*B15</f>
        <v>2.2181250000000006</v>
      </c>
    </row>
    <row r="57" spans="1:25" ht="13.5">
      <c r="A57" s="3" t="s">
        <v>21</v>
      </c>
      <c r="B57" s="52">
        <f>B45*B56/B55</f>
        <v>0.0928919806240492</v>
      </c>
      <c r="C57" s="4" t="s">
        <v>86</v>
      </c>
      <c r="D57" s="1"/>
      <c r="Q57" s="35">
        <v>70</v>
      </c>
      <c r="R57" s="36">
        <v>4.6</v>
      </c>
      <c r="S57" s="36">
        <v>41</v>
      </c>
      <c r="T57" s="36">
        <v>2.8</v>
      </c>
      <c r="U57" s="36">
        <v>2.7</v>
      </c>
      <c r="V57" s="36">
        <v>2.7</v>
      </c>
      <c r="W57" s="36">
        <v>2.4</v>
      </c>
      <c r="X57" s="36">
        <v>1.45</v>
      </c>
      <c r="Y57" s="39">
        <f>1.05*S57/1.2*U57/Q57*B15</f>
        <v>2.0756250000000005</v>
      </c>
    </row>
    <row r="58" spans="1:25" ht="12">
      <c r="A58" s="3"/>
      <c r="B58" s="3"/>
      <c r="C58" s="4"/>
      <c r="D58" s="1"/>
      <c r="Q58" s="35">
        <v>80</v>
      </c>
      <c r="R58" s="36">
        <v>4.8</v>
      </c>
      <c r="S58" s="36">
        <v>42</v>
      </c>
      <c r="T58" s="36">
        <v>2.8</v>
      </c>
      <c r="U58" s="36">
        <v>2.8</v>
      </c>
      <c r="V58" s="36">
        <v>2.6</v>
      </c>
      <c r="W58" s="36">
        <v>2.5</v>
      </c>
      <c r="X58" s="36">
        <v>1.4</v>
      </c>
      <c r="Y58" s="39">
        <f>1.05*S58/1.2*U58/Q58*B15</f>
        <v>1.9293749999999998</v>
      </c>
    </row>
    <row r="59" spans="17:25" ht="12">
      <c r="Q59" s="41">
        <v>90</v>
      </c>
      <c r="R59" s="42">
        <v>5</v>
      </c>
      <c r="S59" s="42">
        <v>44</v>
      </c>
      <c r="T59" s="42">
        <v>2.8</v>
      </c>
      <c r="U59" s="42">
        <v>2.8</v>
      </c>
      <c r="V59" s="42">
        <v>2.6</v>
      </c>
      <c r="W59" s="42">
        <v>2.6</v>
      </c>
      <c r="X59" s="42">
        <v>1.4</v>
      </c>
      <c r="Y59" s="43">
        <f>1.05*S59/1.2*U59/Q59*B15</f>
        <v>1.7966666666666669</v>
      </c>
    </row>
    <row r="61" spans="10:11" ht="13.5">
      <c r="J61" s="2" t="s">
        <v>98</v>
      </c>
      <c r="K61" s="49">
        <f>B41/C41</f>
        <v>0.9175033161048346</v>
      </c>
    </row>
    <row r="84" ht="12">
      <c r="N84" s="4"/>
    </row>
    <row r="85" spans="11:12" ht="12">
      <c r="K85" s="2"/>
      <c r="L85" s="2" t="s">
        <v>100</v>
      </c>
    </row>
    <row r="86" spans="9:12" ht="12">
      <c r="I86" s="2" t="s">
        <v>99</v>
      </c>
      <c r="J86" s="53">
        <f>MAX(B54,B57)</f>
        <v>0.0928919806240492</v>
      </c>
      <c r="K86" s="4" t="s">
        <v>73</v>
      </c>
      <c r="L86" s="2"/>
    </row>
  </sheetData>
  <sheetProtection password="DE57" sheet="1" objects="1" scenarios="1"/>
  <mergeCells count="1">
    <mergeCell ref="B1:I1"/>
  </mergeCells>
  <conditionalFormatting sqref="J86 C38 G40:G43">
    <cfRule type="cellIs" priority="1" dxfId="0" operator="equal" stopIfTrue="1">
      <formula>"KO"</formula>
    </cfRule>
  </conditionalFormatting>
  <dataValidations count="2">
    <dataValidation type="list" allowBlank="1" showInputMessage="1" showErrorMessage="1" sqref="B14">
      <formula1>$Q$46:$Q$59</formula1>
    </dataValidation>
    <dataValidation type="list" allowBlank="1" showInputMessage="1" showErrorMessage="1" sqref="E14">
      <formula1>$W$39:$W$42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4"/>
  <rowBreaks count="1" manualBreakCount="1">
    <brk id="59" max="255" man="1"/>
  </rowBreaks>
  <colBreaks count="1" manualBreakCount="1">
    <brk id="13" max="65535" man="1"/>
  </colBreaks>
  <drawing r:id="rId3"/>
  <legacyDrawing r:id="rId2"/>
  <oleObjects>
    <oleObject progId="Equation.3" shapeId="1411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2018-03-03T08:28:06Z</dcterms:created>
  <dcterms:modified xsi:type="dcterms:W3CDTF">2021-10-08T15:04:45Z</dcterms:modified>
  <cp:category/>
  <cp:version/>
  <cp:contentType/>
  <cp:contentStatus/>
</cp:coreProperties>
</file>