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90" windowWidth="13665" windowHeight="10950" activeTab="0"/>
  </bookViews>
  <sheets>
    <sheet name="% minimum" sheetId="1" r:id="rId1"/>
  </sheets>
  <externalReferences>
    <externalReference r:id="rId4"/>
  </externalReferences>
  <definedNames>
    <definedName name="Air">'[1]Calcul'!$C$77</definedName>
    <definedName name="aire">'[1]Calcul'!#REF!</definedName>
    <definedName name="b">'[1]Calcul'!#REF!</definedName>
    <definedName name="classe">'[1]Calcul'!#REF!</definedName>
    <definedName name="ecc2">'[1]Calcul'!#REF!</definedName>
    <definedName name="ecu2">'[1]Calcul'!#REF!</definedName>
    <definedName name="epc1">'[1]Calcul'!#REF!</definedName>
    <definedName name="eud">'[1]Calcul'!#REF!</definedName>
    <definedName name="euk">'[1]Calcul'!#REF!</definedName>
    <definedName name="fck">'[1]Calcul'!$B$62</definedName>
    <definedName name="fcm">'[1]Calcul'!$B$175</definedName>
    <definedName name="fyd">'[1]Calcul'!#REF!</definedName>
    <definedName name="fyk">'[1]Calcul'!#REF!</definedName>
    <definedName name="gc">'[1]Calcul'!#REF!</definedName>
    <definedName name="gs">'[1]Calcul'!#REF!</definedName>
    <definedName name="h">'[1]Calcul'!#REF!</definedName>
    <definedName name="ho">'[1]Calcul'!$J$82</definedName>
    <definedName name="k">'[1]Calcul'!#REF!</definedName>
    <definedName name="majo">'[1]Calcul'!#REF!</definedName>
    <definedName name="nb">'[1]Calcul'!$N$71</definedName>
    <definedName name="nbr">'[1]Calcul'!#REF!</definedName>
    <definedName name="Ned">'[1]Calcul'!#REF!</definedName>
    <definedName name="ntrap">'[1]Calcul'!$B$162</definedName>
    <definedName name="peri">'[1]Calcul'!$C$78</definedName>
    <definedName name="tab1">'[1]Calcul'!#REF!</definedName>
    <definedName name="tab2">'[1]Calcul'!#REF!</definedName>
    <definedName name="tab3">'[1]Calcul'!#REF!</definedName>
    <definedName name="tabfck">'[1]Calcul'!$AB$67:$AI$80</definedName>
    <definedName name="tabi1">'[1]Calcul'!$B$165:$M$165</definedName>
    <definedName name="tabi2">'[1]Calcul'!$B$166:$M$166</definedName>
    <definedName name="tabi3">'[1]Calcul'!$B$167:$M$167</definedName>
    <definedName name="tabm">'[1]Calcul'!#REF!</definedName>
    <definedName name="tabn">'[1]Calcul'!#REF!</definedName>
    <definedName name="vg">'[1]Calcul'!#REF!</definedName>
    <definedName name="_xlnm.Print_Area" localSheetId="0">'% minimum'!$A$1:$M$96</definedName>
  </definedNames>
  <calcPr calcMode="manual" fullCalcOnLoad="1" iterate="1" iterateCount="10" iterateDelta="0.001"/>
</workbook>
</file>

<file path=xl/comments1.xml><?xml version="1.0" encoding="utf-8"?>
<comments xmlns="http://schemas.openxmlformats.org/spreadsheetml/2006/main">
  <authors>
    <author>Henry</author>
  </authors>
  <commentList>
    <comment ref="D44" authorId="0">
      <text>
        <r>
          <rPr>
            <b/>
            <sz val="9"/>
            <rFont val="Tahoma"/>
            <family val="2"/>
          </rPr>
          <t>= 3 for a cement of class CEM 32.5N
= 4  for a cement of class CEM 32.5R or 42.5N
= 6  for a cement of class CEM 42.5R, 52.5N or 52.5R</t>
        </r>
      </text>
    </comment>
    <comment ref="D45" authorId="0">
      <text>
        <r>
          <rPr>
            <b/>
            <sz val="9"/>
            <rFont val="Tahoma"/>
            <family val="2"/>
          </rPr>
          <t>= 0,13 for a cement of class CEM 32.5N
= 0,12 for a cement of class  CEM 32.5R or 42.5N
= 0,11 for a cement of class  CEM 42.5R, 52.5N or 52.5R</t>
        </r>
        <r>
          <rPr>
            <sz val="9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9"/>
            <rFont val="Tahoma"/>
            <family val="2"/>
          </rPr>
          <t>= 1 for h</t>
        </r>
        <r>
          <rPr>
            <b/>
            <vertAlign val="subscript"/>
            <sz val="9"/>
            <rFont val="Tahoma"/>
            <family val="2"/>
          </rPr>
          <t>0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Arial"/>
            <family val="2"/>
          </rPr>
          <t>≤</t>
        </r>
        <r>
          <rPr>
            <b/>
            <sz val="9"/>
            <rFont val="Tahoma"/>
            <family val="2"/>
          </rPr>
          <t xml:space="preserve"> 100 mm
 = 0,85 for h</t>
        </r>
        <r>
          <rPr>
            <b/>
            <vertAlign val="subscript"/>
            <sz val="9"/>
            <rFont val="Tahoma"/>
            <family val="2"/>
          </rPr>
          <t>0</t>
        </r>
        <r>
          <rPr>
            <b/>
            <sz val="9"/>
            <rFont val="Tahoma"/>
            <family val="2"/>
          </rPr>
          <t xml:space="preserve"> = 200 mm
= 0,75 for h</t>
        </r>
        <r>
          <rPr>
            <b/>
            <vertAlign val="subscript"/>
            <sz val="9"/>
            <rFont val="Tahoma"/>
            <family val="2"/>
          </rPr>
          <t>0</t>
        </r>
        <r>
          <rPr>
            <b/>
            <sz val="9"/>
            <rFont val="Tahoma"/>
            <family val="2"/>
          </rPr>
          <t xml:space="preserve"> = 300 mm
= 0,70 for h</t>
        </r>
        <r>
          <rPr>
            <b/>
            <vertAlign val="subscript"/>
            <sz val="9"/>
            <rFont val="Tahoma"/>
            <family val="2"/>
          </rPr>
          <t>0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Arial"/>
            <family val="2"/>
          </rPr>
          <t>≥</t>
        </r>
        <r>
          <rPr>
            <b/>
            <sz val="9"/>
            <rFont val="Tahoma"/>
            <family val="2"/>
          </rPr>
          <t xml:space="preserve"> 500 mm
Linear interpolation is possible</t>
        </r>
        <r>
          <rPr>
            <sz val="9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<sst xmlns="http://schemas.openxmlformats.org/spreadsheetml/2006/main" count="208" uniqueCount="159">
  <si>
    <r>
      <t>f</t>
    </r>
    <r>
      <rPr>
        <vertAlign val="subscript"/>
        <sz val="9"/>
        <rFont val="Arial"/>
        <family val="2"/>
      </rPr>
      <t>cm</t>
    </r>
  </si>
  <si>
    <t>RH</t>
  </si>
  <si>
    <t>%</t>
  </si>
  <si>
    <t>b</t>
  </si>
  <si>
    <t>h</t>
  </si>
  <si>
    <t>u</t>
  </si>
  <si>
    <r>
      <t>A</t>
    </r>
    <r>
      <rPr>
        <vertAlign val="subscript"/>
        <sz val="9"/>
        <rFont val="Arial"/>
        <family val="2"/>
      </rPr>
      <t>c</t>
    </r>
  </si>
  <si>
    <t>m</t>
  </si>
  <si>
    <r>
      <t>f</t>
    </r>
    <r>
      <rPr>
        <vertAlign val="subscript"/>
        <sz val="9"/>
        <rFont val="Arial"/>
        <family val="2"/>
      </rPr>
      <t>ck</t>
    </r>
  </si>
  <si>
    <t>MPa</t>
  </si>
  <si>
    <t>mm</t>
  </si>
  <si>
    <t>GPa</t>
  </si>
  <si>
    <t>a</t>
  </si>
  <si>
    <r>
      <t>h</t>
    </r>
    <r>
      <rPr>
        <vertAlign val="subscript"/>
        <sz val="9"/>
        <rFont val="Arial"/>
        <family val="2"/>
      </rPr>
      <t>o</t>
    </r>
  </si>
  <si>
    <t>32,5N</t>
  </si>
  <si>
    <t>32,5R</t>
  </si>
  <si>
    <t>42,5N</t>
  </si>
  <si>
    <t>42,5R</t>
  </si>
  <si>
    <t>52,5N</t>
  </si>
  <si>
    <t>52,5R</t>
  </si>
  <si>
    <r>
      <t>t</t>
    </r>
    <r>
      <rPr>
        <vertAlign val="subscript"/>
        <sz val="9"/>
        <rFont val="Arial"/>
        <family val="2"/>
      </rPr>
      <t>s</t>
    </r>
  </si>
  <si>
    <t>‰</t>
  </si>
  <si>
    <r>
      <t>b</t>
    </r>
    <r>
      <rPr>
        <vertAlign val="subscript"/>
        <sz val="9"/>
        <rFont val="Arial"/>
        <family val="2"/>
      </rPr>
      <t>RH</t>
    </r>
  </si>
  <si>
    <r>
      <t>m</t>
    </r>
    <r>
      <rPr>
        <vertAlign val="superscript"/>
        <sz val="9"/>
        <rFont val="Arial"/>
        <family val="2"/>
      </rPr>
      <t>2</t>
    </r>
  </si>
  <si>
    <r>
      <t>a</t>
    </r>
    <r>
      <rPr>
        <vertAlign val="subscript"/>
        <sz val="9"/>
        <rFont val="Arial"/>
        <family val="2"/>
      </rPr>
      <t>ds1</t>
    </r>
  </si>
  <si>
    <r>
      <t>a</t>
    </r>
    <r>
      <rPr>
        <vertAlign val="subscript"/>
        <sz val="9"/>
        <rFont val="Arial"/>
        <family val="2"/>
      </rPr>
      <t>ds2</t>
    </r>
  </si>
  <si>
    <t>d°</t>
  </si>
  <si>
    <r>
      <t>k</t>
    </r>
    <r>
      <rPr>
        <vertAlign val="subscript"/>
        <sz val="9"/>
        <rFont val="Arial"/>
        <family val="2"/>
      </rPr>
      <t>h</t>
    </r>
  </si>
  <si>
    <t>Tab. 3.3</t>
  </si>
  <si>
    <r>
      <t>e</t>
    </r>
    <r>
      <rPr>
        <vertAlign val="subscript"/>
        <sz val="9"/>
        <rFont val="Arial"/>
        <family val="2"/>
      </rPr>
      <t>cd,o</t>
    </r>
  </si>
  <si>
    <r>
      <t>éq. B.11 = 0,85[(220+110</t>
    </r>
    <r>
      <rPr>
        <sz val="9"/>
        <rFont val="Symbol"/>
        <family val="1"/>
      </rPr>
      <t>a</t>
    </r>
    <r>
      <rPr>
        <vertAlign val="subscript"/>
        <sz val="9"/>
        <rFont val="Arial"/>
        <family val="2"/>
      </rPr>
      <t>ds1</t>
    </r>
    <r>
      <rPr>
        <sz val="9"/>
        <rFont val="Arial"/>
        <family val="2"/>
      </rPr>
      <t>).exp(-</t>
    </r>
    <r>
      <rPr>
        <sz val="9"/>
        <rFont val="Symbol"/>
        <family val="1"/>
      </rPr>
      <t>a</t>
    </r>
    <r>
      <rPr>
        <vertAlign val="subscript"/>
        <sz val="9"/>
        <rFont val="Arial"/>
        <family val="2"/>
      </rPr>
      <t>ds2</t>
    </r>
    <r>
      <rPr>
        <sz val="9"/>
        <rFont val="Arial"/>
        <family val="2"/>
      </rPr>
      <t>.f</t>
    </r>
    <r>
      <rPr>
        <vertAlign val="subscript"/>
        <sz val="9"/>
        <rFont val="Arial"/>
        <family val="2"/>
      </rPr>
      <t>cm</t>
    </r>
    <r>
      <rPr>
        <sz val="9"/>
        <rFont val="Arial"/>
        <family val="2"/>
      </rPr>
      <t>/10)].10</t>
    </r>
    <r>
      <rPr>
        <vertAlign val="superscript"/>
        <sz val="9"/>
        <rFont val="Arial"/>
        <family val="2"/>
      </rPr>
      <t>-6</t>
    </r>
    <r>
      <rPr>
        <sz val="9"/>
        <rFont val="Arial"/>
        <family val="2"/>
      </rPr>
      <t>.</t>
    </r>
    <r>
      <rPr>
        <sz val="9"/>
        <rFont val="Symbol"/>
        <family val="1"/>
      </rPr>
      <t>b</t>
    </r>
    <r>
      <rPr>
        <vertAlign val="subscript"/>
        <sz val="9"/>
        <rFont val="Arial"/>
        <family val="2"/>
      </rPr>
      <t>RH</t>
    </r>
  </si>
  <si>
    <r>
      <t>éq. B.12 = 1,55[1-(RH/100)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]</t>
    </r>
  </si>
  <si>
    <r>
      <t>b</t>
    </r>
    <r>
      <rPr>
        <vertAlign val="subscript"/>
        <sz val="9"/>
        <rFont val="Arial"/>
        <family val="2"/>
      </rPr>
      <t>ds</t>
    </r>
    <r>
      <rPr>
        <sz val="9"/>
        <rFont val="Arial"/>
        <family val="2"/>
      </rPr>
      <t>(t,t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)</t>
    </r>
  </si>
  <si>
    <r>
      <t>éq. 3.10 = (t-t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)/(t-t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+0,04h</t>
    </r>
    <r>
      <rPr>
        <vertAlign val="subscript"/>
        <sz val="9"/>
        <rFont val="Arial"/>
        <family val="2"/>
      </rPr>
      <t>0</t>
    </r>
    <r>
      <rPr>
        <vertAlign val="superscript"/>
        <sz val="9"/>
        <rFont val="Arial"/>
        <family val="2"/>
      </rPr>
      <t>1,5</t>
    </r>
    <r>
      <rPr>
        <sz val="9"/>
        <rFont val="Arial"/>
        <family val="2"/>
      </rPr>
      <t>)</t>
    </r>
  </si>
  <si>
    <r>
      <t>b</t>
    </r>
    <r>
      <rPr>
        <vertAlign val="subscript"/>
        <sz val="9"/>
        <rFont val="Arial"/>
        <family val="2"/>
      </rPr>
      <t>as(</t>
    </r>
    <r>
      <rPr>
        <sz val="9"/>
        <rFont val="Arial"/>
        <family val="2"/>
      </rPr>
      <t>t)</t>
    </r>
  </si>
  <si>
    <r>
      <t>e</t>
    </r>
    <r>
      <rPr>
        <vertAlign val="subscript"/>
        <sz val="9"/>
        <rFont val="Arial"/>
        <family val="2"/>
      </rPr>
      <t>cd</t>
    </r>
    <r>
      <rPr>
        <sz val="9"/>
        <rFont val="Arial"/>
        <family val="2"/>
      </rPr>
      <t>(t)</t>
    </r>
  </si>
  <si>
    <r>
      <t>e</t>
    </r>
    <r>
      <rPr>
        <vertAlign val="subscript"/>
        <sz val="9"/>
        <rFont val="Arial"/>
        <family val="2"/>
      </rPr>
      <t>ca</t>
    </r>
    <r>
      <rPr>
        <sz val="9"/>
        <rFont val="Arial"/>
        <family val="2"/>
      </rPr>
      <t>(t)</t>
    </r>
  </si>
  <si>
    <r>
      <t>e</t>
    </r>
    <r>
      <rPr>
        <vertAlign val="subscript"/>
        <sz val="9"/>
        <rFont val="Arial"/>
        <family val="2"/>
      </rPr>
      <t>cs</t>
    </r>
    <r>
      <rPr>
        <sz val="9"/>
        <rFont val="Arial"/>
        <family val="2"/>
      </rPr>
      <t>(t)</t>
    </r>
  </si>
  <si>
    <t>s</t>
  </si>
  <si>
    <r>
      <t>b</t>
    </r>
    <r>
      <rPr>
        <vertAlign val="subscript"/>
        <sz val="9"/>
        <rFont val="Arial"/>
        <family val="2"/>
      </rPr>
      <t>cc</t>
    </r>
    <r>
      <rPr>
        <sz val="9"/>
        <rFont val="Arial"/>
        <family val="2"/>
      </rPr>
      <t>(t</t>
    </r>
    <r>
      <rPr>
        <sz val="9"/>
        <rFont val="Arial"/>
        <family val="2"/>
      </rPr>
      <t>)</t>
    </r>
  </si>
  <si>
    <r>
      <t>f</t>
    </r>
    <r>
      <rPr>
        <vertAlign val="subscript"/>
        <sz val="9"/>
        <rFont val="Arial"/>
        <family val="2"/>
      </rPr>
      <t>cm</t>
    </r>
    <r>
      <rPr>
        <sz val="9"/>
        <rFont val="Arial"/>
        <family val="0"/>
      </rPr>
      <t>(t)</t>
    </r>
  </si>
  <si>
    <r>
      <t>f</t>
    </r>
    <r>
      <rPr>
        <vertAlign val="subscript"/>
        <sz val="9"/>
        <rFont val="Arial"/>
        <family val="2"/>
      </rPr>
      <t>ctm</t>
    </r>
  </si>
  <si>
    <r>
      <t>E</t>
    </r>
    <r>
      <rPr>
        <vertAlign val="subscript"/>
        <sz val="9"/>
        <rFont val="Arial"/>
        <family val="2"/>
      </rPr>
      <t>cm</t>
    </r>
    <r>
      <rPr>
        <sz val="9"/>
        <rFont val="Arial"/>
        <family val="0"/>
      </rPr>
      <t>(t)</t>
    </r>
  </si>
  <si>
    <r>
      <t>E</t>
    </r>
    <r>
      <rPr>
        <vertAlign val="subscript"/>
        <sz val="9"/>
        <rFont val="Arial"/>
        <family val="2"/>
      </rPr>
      <t>cm</t>
    </r>
  </si>
  <si>
    <r>
      <t>f</t>
    </r>
    <r>
      <rPr>
        <vertAlign val="subscript"/>
        <sz val="9"/>
        <rFont val="Arial"/>
        <family val="2"/>
      </rPr>
      <t>ctm</t>
    </r>
    <r>
      <rPr>
        <sz val="9"/>
        <rFont val="Arial"/>
        <family val="0"/>
      </rPr>
      <t>(t)</t>
    </r>
  </si>
  <si>
    <t>jours</t>
  </si>
  <si>
    <t>fin de cure</t>
  </si>
  <si>
    <r>
      <t>E</t>
    </r>
    <r>
      <rPr>
        <vertAlign val="subscript"/>
        <sz val="9"/>
        <rFont val="Arial"/>
        <family val="2"/>
      </rPr>
      <t>cm</t>
    </r>
    <r>
      <rPr>
        <sz val="9"/>
        <rFont val="Arial"/>
        <family val="2"/>
      </rPr>
      <t>(t)</t>
    </r>
  </si>
  <si>
    <r>
      <t>f</t>
    </r>
    <r>
      <rPr>
        <vertAlign val="subscript"/>
        <sz val="9"/>
        <rFont val="Arial"/>
        <family val="2"/>
      </rPr>
      <t>ctm</t>
    </r>
    <r>
      <rPr>
        <sz val="9"/>
        <rFont val="Arial"/>
        <family val="2"/>
      </rPr>
      <t>(t)</t>
    </r>
  </si>
  <si>
    <t>frap(fck, clas, ts, t, RH, b, h, code)</t>
  </si>
  <si>
    <t>r</t>
  </si>
  <si>
    <t>%mini</t>
  </si>
  <si>
    <t>d</t>
  </si>
  <si>
    <r>
      <t>M</t>
    </r>
    <r>
      <rPr>
        <vertAlign val="subscript"/>
        <sz val="9"/>
        <rFont val="Arial"/>
        <family val="2"/>
      </rPr>
      <t>cr</t>
    </r>
  </si>
  <si>
    <t>kNm</t>
  </si>
  <si>
    <r>
      <t>g</t>
    </r>
    <r>
      <rPr>
        <vertAlign val="subscript"/>
        <sz val="9"/>
        <rFont val="Arial"/>
        <family val="2"/>
      </rPr>
      <t>C</t>
    </r>
  </si>
  <si>
    <r>
      <t>f</t>
    </r>
    <r>
      <rPr>
        <vertAlign val="subscript"/>
        <sz val="9"/>
        <rFont val="Arial"/>
        <family val="2"/>
      </rPr>
      <t>yk</t>
    </r>
  </si>
  <si>
    <r>
      <t>f</t>
    </r>
    <r>
      <rPr>
        <vertAlign val="subscript"/>
        <sz val="9"/>
        <rFont val="Arial"/>
        <family val="2"/>
      </rPr>
      <t>cd</t>
    </r>
  </si>
  <si>
    <t>x</t>
  </si>
  <si>
    <r>
      <t>= 1,25(1-(1-2</t>
    </r>
    <r>
      <rPr>
        <sz val="9"/>
        <rFont val="Symbol"/>
        <family val="1"/>
      </rPr>
      <t>m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>)</t>
    </r>
  </si>
  <si>
    <r>
      <t>e</t>
    </r>
    <r>
      <rPr>
        <vertAlign val="subscript"/>
        <sz val="9"/>
        <rFont val="Arial"/>
        <family val="2"/>
      </rPr>
      <t>s</t>
    </r>
  </si>
  <si>
    <t>classe acier</t>
  </si>
  <si>
    <t>A</t>
  </si>
  <si>
    <t>B</t>
  </si>
  <si>
    <t>C</t>
  </si>
  <si>
    <r>
      <t>k</t>
    </r>
    <r>
      <rPr>
        <vertAlign val="subscript"/>
        <sz val="9"/>
        <rFont val="Arial"/>
        <family val="2"/>
      </rPr>
      <t>s</t>
    </r>
  </si>
  <si>
    <r>
      <t>e</t>
    </r>
    <r>
      <rPr>
        <vertAlign val="subscript"/>
        <sz val="9"/>
        <rFont val="Arial"/>
        <family val="2"/>
      </rPr>
      <t>uk</t>
    </r>
  </si>
  <si>
    <r>
      <t>s</t>
    </r>
    <r>
      <rPr>
        <vertAlign val="subscript"/>
        <sz val="9"/>
        <rFont val="Arial"/>
        <family val="2"/>
      </rPr>
      <t>s</t>
    </r>
  </si>
  <si>
    <r>
      <t>= Max(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.E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 xml:space="preserve"> ; 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>.(1+(k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-1).(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-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sy</t>
    </r>
    <r>
      <rPr>
        <sz val="9"/>
        <rFont val="Arial"/>
        <family val="0"/>
      </rPr>
      <t>)/(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uk</t>
    </r>
    <r>
      <rPr>
        <sz val="9"/>
        <rFont val="Arial"/>
        <family val="0"/>
      </rPr>
      <t>-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sy</t>
    </r>
    <r>
      <rPr>
        <sz val="9"/>
        <rFont val="Arial"/>
        <family val="0"/>
      </rPr>
      <t>))</t>
    </r>
  </si>
  <si>
    <r>
      <t>e</t>
    </r>
    <r>
      <rPr>
        <vertAlign val="subscript"/>
        <sz val="9"/>
        <rFont val="Arial"/>
        <family val="2"/>
      </rPr>
      <t>sy</t>
    </r>
  </si>
  <si>
    <r>
      <t>f</t>
    </r>
    <r>
      <rPr>
        <vertAlign val="subscript"/>
        <sz val="9"/>
        <rFont val="Arial"/>
        <family val="2"/>
      </rPr>
      <t>yd</t>
    </r>
  </si>
  <si>
    <r>
      <t>g</t>
    </r>
    <r>
      <rPr>
        <vertAlign val="subscript"/>
        <sz val="9"/>
        <rFont val="Arial"/>
        <family val="2"/>
      </rPr>
      <t>S</t>
    </r>
  </si>
  <si>
    <t>z</t>
  </si>
  <si>
    <r>
      <t>A</t>
    </r>
    <r>
      <rPr>
        <vertAlign val="subscript"/>
        <sz val="9"/>
        <rFont val="Arial"/>
        <family val="2"/>
      </rPr>
      <t>s,min</t>
    </r>
  </si>
  <si>
    <r>
      <t>= M</t>
    </r>
    <r>
      <rPr>
        <vertAlign val="subscript"/>
        <sz val="9"/>
        <rFont val="Arial"/>
        <family val="2"/>
      </rPr>
      <t>cr</t>
    </r>
    <r>
      <rPr>
        <sz val="9"/>
        <rFont val="Arial"/>
        <family val="0"/>
      </rPr>
      <t>/(z.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)</t>
    </r>
  </si>
  <si>
    <r>
      <t>cm</t>
    </r>
    <r>
      <rPr>
        <vertAlign val="superscript"/>
        <sz val="9"/>
        <rFont val="Arial"/>
        <family val="2"/>
      </rPr>
      <t>2</t>
    </r>
  </si>
  <si>
    <r>
      <t>= f</t>
    </r>
    <r>
      <rPr>
        <vertAlign val="subscript"/>
        <sz val="9"/>
        <rFont val="Arial"/>
        <family val="2"/>
      </rPr>
      <t>yk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S</t>
    </r>
  </si>
  <si>
    <r>
      <t>= 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>/E</t>
    </r>
    <r>
      <rPr>
        <vertAlign val="subscript"/>
        <sz val="9"/>
        <rFont val="Arial"/>
        <family val="2"/>
      </rPr>
      <t>s</t>
    </r>
  </si>
  <si>
    <t>soit</t>
  </si>
  <si>
    <t>j</t>
  </si>
  <si>
    <r>
      <t>= A</t>
    </r>
    <r>
      <rPr>
        <vertAlign val="subscript"/>
        <sz val="9"/>
        <rFont val="Arial"/>
        <family val="2"/>
      </rPr>
      <t>s,min</t>
    </r>
    <r>
      <rPr>
        <sz val="9"/>
        <rFont val="Arial"/>
        <family val="0"/>
      </rPr>
      <t>/(b.d)</t>
    </r>
  </si>
  <si>
    <r>
      <t>e</t>
    </r>
    <r>
      <rPr>
        <vertAlign val="subscript"/>
        <sz val="9"/>
        <rFont val="Arial"/>
        <family val="2"/>
      </rPr>
      <t>ca</t>
    </r>
    <r>
      <rPr>
        <sz val="9"/>
        <rFont val="Arial"/>
        <family val="2"/>
      </rPr>
      <t>(</t>
    </r>
    <r>
      <rPr>
        <sz val="6"/>
        <rFont val="Arial"/>
        <family val="2"/>
      </rPr>
      <t>∞</t>
    </r>
    <r>
      <rPr>
        <sz val="9"/>
        <rFont val="Arial"/>
        <family val="2"/>
      </rPr>
      <t>)</t>
    </r>
  </si>
  <si>
    <t>function fret(fck, clas, ts, t, RH, b, h)</t>
  </si>
  <si>
    <r>
      <t>Formule B.6 = 2A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/u</t>
    </r>
  </si>
  <si>
    <t>aire</t>
  </si>
  <si>
    <t>périmetre</t>
  </si>
  <si>
    <t xml:space="preserve"> fonction de la classe du ciment</t>
  </si>
  <si>
    <r>
      <t>Formule 3.12 = 2,5(f</t>
    </r>
    <r>
      <rPr>
        <vertAlign val="subscript"/>
        <sz val="9"/>
        <rFont val="Arial"/>
        <family val="2"/>
      </rPr>
      <t>ck</t>
    </r>
    <r>
      <rPr>
        <sz val="9"/>
        <rFont val="Arial"/>
        <family val="2"/>
      </rPr>
      <t>-10).10</t>
    </r>
    <r>
      <rPr>
        <vertAlign val="superscript"/>
        <sz val="9"/>
        <rFont val="Arial"/>
        <family val="2"/>
      </rPr>
      <t>-6</t>
    </r>
  </si>
  <si>
    <r>
      <t>Formule3.13 = 1 - exp(-0,2t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2"/>
      </rPr>
      <t>)</t>
    </r>
  </si>
  <si>
    <t>à 50 ans</t>
  </si>
  <si>
    <t>résistance du béton</t>
  </si>
  <si>
    <t>classe de ciment</t>
  </si>
  <si>
    <t>classe ciment</t>
  </si>
  <si>
    <t>taux d'humidité</t>
  </si>
  <si>
    <t xml:space="preserve">largeur </t>
  </si>
  <si>
    <t>hauteur</t>
  </si>
  <si>
    <t>hauteur utile</t>
  </si>
  <si>
    <t>coefficient béton</t>
  </si>
  <si>
    <t>limite élastique acier</t>
  </si>
  <si>
    <t>coefficient acier</t>
  </si>
  <si>
    <t>A, B ou C</t>
  </si>
  <si>
    <t>195 - Calcul de la section minimale d'acier à la première fissuration</t>
  </si>
  <si>
    <t>L'auteur n'est</t>
  </si>
  <si>
    <t>pas responsable</t>
  </si>
  <si>
    <t>de l'usage fait</t>
  </si>
  <si>
    <t>de ce programme</t>
  </si>
  <si>
    <t>H. Thonier</t>
  </si>
  <si>
    <t>retrait total</t>
  </si>
  <si>
    <t>retrait de séchage</t>
  </si>
  <si>
    <t>retrait endogène</t>
  </si>
  <si>
    <r>
      <t>e</t>
    </r>
    <r>
      <rPr>
        <vertAlign val="subscript"/>
        <sz val="9"/>
        <rFont val="Arial"/>
        <family val="2"/>
      </rPr>
      <t>cs</t>
    </r>
    <r>
      <rPr>
        <sz val="9"/>
        <rFont val="Arial Narrow"/>
        <family val="2"/>
      </rPr>
      <t>(18250)</t>
    </r>
  </si>
  <si>
    <r>
      <t>= 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</si>
  <si>
    <r>
      <t>= 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 xml:space="preserve"> + 8</t>
    </r>
  </si>
  <si>
    <r>
      <t>= 0,3f</t>
    </r>
    <r>
      <rPr>
        <vertAlign val="subscript"/>
        <sz val="9"/>
        <rFont val="Arial"/>
        <family val="2"/>
      </rPr>
      <t>ck</t>
    </r>
    <r>
      <rPr>
        <vertAlign val="superscript"/>
        <sz val="9"/>
        <rFont val="Arial"/>
        <family val="2"/>
      </rPr>
      <t>2/3</t>
    </r>
  </si>
  <si>
    <r>
      <t>= 22 (f</t>
    </r>
    <r>
      <rPr>
        <vertAlign val="subscript"/>
        <sz val="9"/>
        <rFont val="Arial"/>
        <family val="2"/>
      </rPr>
      <t>cm</t>
    </r>
    <r>
      <rPr>
        <sz val="9"/>
        <rFont val="Arial"/>
        <family val="0"/>
      </rPr>
      <t>/10)</t>
    </r>
    <r>
      <rPr>
        <vertAlign val="superscript"/>
        <sz val="9"/>
        <rFont val="Arial"/>
        <family val="2"/>
      </rPr>
      <t>0,3</t>
    </r>
  </si>
  <si>
    <t>voir tableau ci-contre</t>
  </si>
  <si>
    <t>EC2, Eq. 3.2</t>
  </si>
  <si>
    <t>EC2 art. 3.1.2 (9)</t>
  </si>
  <si>
    <r>
      <t>= b</t>
    </r>
    <r>
      <rPr>
        <vertAlign val="subscript"/>
        <sz val="9"/>
        <rFont val="Arial"/>
        <family val="2"/>
      </rPr>
      <t>cc</t>
    </r>
    <r>
      <rPr>
        <sz val="9"/>
        <rFont val="Arial"/>
        <family val="2"/>
      </rPr>
      <t>(t).f</t>
    </r>
    <r>
      <rPr>
        <vertAlign val="subscript"/>
        <sz val="9"/>
        <rFont val="Arial"/>
        <family val="2"/>
      </rPr>
      <t>cm</t>
    </r>
  </si>
  <si>
    <r>
      <t>= (f</t>
    </r>
    <r>
      <rPr>
        <vertAlign val="subscript"/>
        <sz val="9"/>
        <rFont val="Arial"/>
        <family val="2"/>
      </rPr>
      <t>cm</t>
    </r>
    <r>
      <rPr>
        <sz val="9"/>
        <rFont val="Arial"/>
        <family val="0"/>
      </rPr>
      <t>(t)/f</t>
    </r>
    <r>
      <rPr>
        <vertAlign val="subscript"/>
        <sz val="9"/>
        <rFont val="Arial"/>
        <family val="2"/>
      </rPr>
      <t>cm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0,3</t>
    </r>
    <r>
      <rPr>
        <sz val="9"/>
        <rFont val="Arial"/>
        <family val="0"/>
      </rPr>
      <t>.E</t>
    </r>
    <r>
      <rPr>
        <vertAlign val="subscript"/>
        <sz val="9"/>
        <rFont val="Arial"/>
        <family val="2"/>
      </rPr>
      <t>cm</t>
    </r>
  </si>
  <si>
    <r>
      <t xml:space="preserve">= </t>
    </r>
    <r>
      <rPr>
        <sz val="9"/>
        <rFont val="Symbol"/>
        <family val="1"/>
      </rPr>
      <t>b</t>
    </r>
    <r>
      <rPr>
        <vertAlign val="subscript"/>
        <sz val="9"/>
        <rFont val="Arial"/>
        <family val="2"/>
      </rPr>
      <t>cc</t>
    </r>
    <r>
      <rPr>
        <sz val="9"/>
        <rFont val="Arial"/>
        <family val="2"/>
      </rPr>
      <t>(t).f</t>
    </r>
    <r>
      <rPr>
        <vertAlign val="subscript"/>
        <sz val="9"/>
        <rFont val="Arial"/>
        <family val="2"/>
      </rPr>
      <t>cm</t>
    </r>
  </si>
  <si>
    <r>
      <t xml:space="preserve">Détail du calcul du retrait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cs</t>
    </r>
    <r>
      <rPr>
        <b/>
        <sz val="9"/>
        <rFont val="Arial"/>
        <family val="2"/>
      </rPr>
      <t>(t)</t>
    </r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</si>
  <si>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</si>
  <si>
    <r>
      <t>Formule EC2 : 9,1N : 0,26f</t>
    </r>
    <r>
      <rPr>
        <vertAlign val="subscript"/>
        <sz val="9"/>
        <rFont val="Arial"/>
        <family val="2"/>
      </rPr>
      <t>ctm</t>
    </r>
    <r>
      <rPr>
        <sz val="9"/>
        <rFont val="Arial"/>
        <family val="0"/>
      </rPr>
      <t>/f</t>
    </r>
    <r>
      <rPr>
        <vertAlign val="subscript"/>
        <sz val="9"/>
        <rFont val="Arial"/>
        <family val="2"/>
      </rPr>
      <t>yk</t>
    </r>
    <r>
      <rPr>
        <sz val="9"/>
        <rFont val="Arial"/>
        <family val="0"/>
      </rPr>
      <t>.b.d</t>
    </r>
  </si>
  <si>
    <r>
      <t xml:space="preserve">Formule 3.9 = </t>
    </r>
    <r>
      <rPr>
        <sz val="9"/>
        <rFont val="Symbol"/>
        <family val="1"/>
      </rPr>
      <t>b</t>
    </r>
    <r>
      <rPr>
        <vertAlign val="subscript"/>
        <sz val="9"/>
        <rFont val="Arial"/>
        <family val="2"/>
      </rPr>
      <t>ds</t>
    </r>
    <r>
      <rPr>
        <sz val="9"/>
        <rFont val="Arial"/>
        <family val="2"/>
      </rPr>
      <t>(t,t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).k</t>
    </r>
    <r>
      <rPr>
        <vertAlign val="subscript"/>
        <sz val="9"/>
        <rFont val="Arial"/>
        <family val="2"/>
      </rPr>
      <t>h</t>
    </r>
    <r>
      <rPr>
        <sz val="9"/>
        <rFont val="Arial"/>
        <family val="2"/>
      </rPr>
      <t>.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cd,0</t>
    </r>
  </si>
  <si>
    <r>
      <t xml:space="preserve">Formule 3.11 = </t>
    </r>
    <r>
      <rPr>
        <sz val="9"/>
        <rFont val="Symbol"/>
        <family val="1"/>
      </rPr>
      <t>b</t>
    </r>
    <r>
      <rPr>
        <vertAlign val="subscript"/>
        <sz val="9"/>
        <rFont val="Arial"/>
        <family val="2"/>
      </rPr>
      <t>as</t>
    </r>
    <r>
      <rPr>
        <sz val="9"/>
        <rFont val="Arial"/>
        <family val="2"/>
      </rPr>
      <t>(t).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ca</t>
    </r>
    <r>
      <rPr>
        <sz val="9"/>
        <rFont val="Arial"/>
        <family val="2"/>
      </rPr>
      <t>(</t>
    </r>
    <r>
      <rPr>
        <sz val="9"/>
        <rFont val="Arial"/>
        <family val="0"/>
      </rPr>
      <t>∞</t>
    </r>
    <r>
      <rPr>
        <sz val="9"/>
        <rFont val="Arial"/>
        <family val="2"/>
      </rPr>
      <t>)</t>
    </r>
  </si>
  <si>
    <r>
      <t xml:space="preserve">Formule 3.8 =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cd</t>
    </r>
    <r>
      <rPr>
        <sz val="9"/>
        <rFont val="Arial"/>
        <family val="2"/>
      </rPr>
      <t xml:space="preserve"> +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ca</t>
    </r>
  </si>
  <si>
    <r>
      <t>r</t>
    </r>
    <r>
      <rPr>
        <sz val="9"/>
        <rFont val="Arial"/>
        <family val="0"/>
      </rPr>
      <t xml:space="preserve"> =</t>
    </r>
    <r>
      <rPr>
        <sz val="9"/>
        <rFont val="Arial"/>
        <family val="0"/>
      </rPr>
      <t xml:space="preserve">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cs</t>
    </r>
    <r>
      <rPr>
        <sz val="9"/>
        <rFont val="Arial"/>
        <family val="0"/>
      </rPr>
      <t>(t).E</t>
    </r>
    <r>
      <rPr>
        <vertAlign val="subscript"/>
        <sz val="9"/>
        <rFont val="Arial"/>
        <family val="2"/>
      </rPr>
      <t>cm</t>
    </r>
    <r>
      <rPr>
        <sz val="9"/>
        <rFont val="Arial"/>
        <family val="0"/>
      </rPr>
      <t>(t)/f</t>
    </r>
    <r>
      <rPr>
        <vertAlign val="subscript"/>
        <sz val="9"/>
        <rFont val="Arial"/>
        <family val="2"/>
      </rPr>
      <t>ctm</t>
    </r>
    <r>
      <rPr>
        <sz val="9"/>
        <rFont val="Arial"/>
        <family val="0"/>
      </rPr>
      <t>(t)</t>
    </r>
  </si>
  <si>
    <t xml:space="preserve">j = âge du béton lorsque la contrainte due au retrait </t>
  </si>
  <si>
    <t xml:space="preserve"> atteint la résistance à la traction du béton</t>
  </si>
  <si>
    <t>La section se fissure, il ne peut plus y avoir</t>
  </si>
  <si>
    <t>de rupture fragile postérieure</t>
  </si>
  <si>
    <r>
      <t>= A</t>
    </r>
    <r>
      <rPr>
        <vertAlign val="subscript"/>
        <sz val="9"/>
        <rFont val="Arial"/>
        <family val="2"/>
      </rPr>
      <t>s,min</t>
    </r>
    <r>
      <rPr>
        <sz val="9"/>
        <rFont val="Arial"/>
        <family val="0"/>
      </rPr>
      <t>/b</t>
    </r>
  </si>
  <si>
    <r>
      <t>e</t>
    </r>
    <r>
      <rPr>
        <vertAlign val="subscript"/>
        <sz val="9"/>
        <rFont val="Arial Narrow"/>
        <family val="2"/>
      </rPr>
      <t>cs</t>
    </r>
    <r>
      <rPr>
        <sz val="9"/>
        <rFont val="Arial Narrow"/>
        <family val="2"/>
      </rPr>
      <t>(t).E</t>
    </r>
    <r>
      <rPr>
        <vertAlign val="subscript"/>
        <sz val="9"/>
        <rFont val="Arial Narrow"/>
        <family val="2"/>
      </rPr>
      <t>cm</t>
    </r>
    <r>
      <rPr>
        <sz val="9"/>
        <rFont val="Arial Narrow"/>
        <family val="2"/>
      </rPr>
      <t>(t)</t>
    </r>
  </si>
  <si>
    <r>
      <t xml:space="preserve">= </t>
    </r>
    <r>
      <rPr>
        <sz val="9"/>
        <rFont val="Arial"/>
        <family val="0"/>
      </rPr>
      <t>3,5.(1-</t>
    </r>
    <r>
      <rPr>
        <sz val="9"/>
        <rFont val="Symbol"/>
        <family val="1"/>
      </rPr>
      <t>x</t>
    </r>
    <r>
      <rPr>
        <sz val="9"/>
        <rFont val="Arial"/>
        <family val="0"/>
      </rPr>
      <t>)/</t>
    </r>
    <r>
      <rPr>
        <sz val="9"/>
        <rFont val="Symbol"/>
        <family val="1"/>
      </rPr>
      <t>x</t>
    </r>
    <r>
      <rPr>
        <sz val="9"/>
        <rFont val="Arial"/>
        <family val="2"/>
      </rPr>
      <t xml:space="preserve"> </t>
    </r>
    <r>
      <rPr>
        <sz val="9"/>
        <rFont val="Arial"/>
        <family val="0"/>
      </rPr>
      <t xml:space="preserve">≤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ud</t>
    </r>
  </si>
  <si>
    <r>
      <t>= b.h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ctm</t>
    </r>
    <r>
      <rPr>
        <sz val="9"/>
        <rFont val="Arial"/>
        <family val="0"/>
      </rPr>
      <t>(t)/6</t>
    </r>
  </si>
  <si>
    <r>
      <t>= M</t>
    </r>
    <r>
      <rPr>
        <vertAlign val="subscript"/>
        <sz val="9"/>
        <rFont val="Arial"/>
        <family val="2"/>
      </rPr>
      <t>cr</t>
    </r>
    <r>
      <rPr>
        <sz val="9"/>
        <rFont val="Arial"/>
        <family val="0"/>
      </rPr>
      <t>/(b.d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cd</t>
    </r>
    <r>
      <rPr>
        <sz val="9"/>
        <rFont val="Arial"/>
        <family val="0"/>
      </rPr>
      <t>(t))</t>
    </r>
  </si>
  <si>
    <r>
      <t>f</t>
    </r>
    <r>
      <rPr>
        <vertAlign val="subscript"/>
        <sz val="9"/>
        <rFont val="Arial"/>
        <family val="2"/>
      </rPr>
      <t>cd</t>
    </r>
    <r>
      <rPr>
        <sz val="9"/>
        <rFont val="Arial"/>
        <family val="0"/>
      </rPr>
      <t>(t)</t>
    </r>
  </si>
  <si>
    <r>
      <t>= (f</t>
    </r>
    <r>
      <rPr>
        <vertAlign val="subscript"/>
        <sz val="9"/>
        <rFont val="Arial"/>
        <family val="2"/>
      </rPr>
      <t>cm</t>
    </r>
    <r>
      <rPr>
        <sz val="9"/>
        <rFont val="Arial"/>
        <family val="0"/>
      </rPr>
      <t>(t)-8)/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</si>
  <si>
    <r>
      <t>Calcul A</t>
    </r>
    <r>
      <rPr>
        <b/>
        <vertAlign val="subscript"/>
        <sz val="9"/>
        <rFont val="Arial"/>
        <family val="2"/>
      </rPr>
      <t>s,min</t>
    </r>
    <r>
      <rPr>
        <b/>
        <sz val="9"/>
        <rFont val="Arial"/>
        <family val="2"/>
      </rPr>
      <t xml:space="preserve"> à j jours</t>
    </r>
  </si>
  <si>
    <r>
      <t>= d.(1-0,4</t>
    </r>
    <r>
      <rPr>
        <sz val="9"/>
        <rFont val="Symbol"/>
        <family val="1"/>
      </rPr>
      <t>x</t>
    </r>
    <r>
      <rPr>
        <sz val="9"/>
        <rFont val="Arial"/>
        <family val="0"/>
      </rPr>
      <t>)</t>
    </r>
  </si>
  <si>
    <t>function fjou(tr, 1) ou voir tableau en p. 2</t>
  </si>
  <si>
    <t>économie</t>
  </si>
  <si>
    <t>Données</t>
  </si>
  <si>
    <t>acier</t>
  </si>
  <si>
    <t>classes de ciment</t>
  </si>
  <si>
    <t>classes d'acier</t>
  </si>
  <si>
    <r>
      <t>f</t>
    </r>
    <r>
      <rPr>
        <vertAlign val="subscript"/>
        <sz val="9"/>
        <color indexed="8"/>
        <rFont val="Arial"/>
        <family val="2"/>
      </rPr>
      <t>cd</t>
    </r>
  </si>
  <si>
    <r>
      <t>f</t>
    </r>
    <r>
      <rPr>
        <vertAlign val="subscript"/>
        <sz val="9"/>
        <color indexed="8"/>
        <rFont val="Arial"/>
        <family val="2"/>
      </rPr>
      <t>yd</t>
    </r>
  </si>
  <si>
    <r>
      <t>A</t>
    </r>
    <r>
      <rPr>
        <vertAlign val="subscript"/>
        <sz val="9"/>
        <color indexed="8"/>
        <rFont val="Arial"/>
        <family val="2"/>
      </rPr>
      <t>s,inf</t>
    </r>
  </si>
  <si>
    <r>
      <t>A</t>
    </r>
    <r>
      <rPr>
        <vertAlign val="subscript"/>
        <sz val="9"/>
        <color indexed="8"/>
        <rFont val="Arial"/>
        <family val="2"/>
      </rPr>
      <t>s,sup</t>
    </r>
  </si>
  <si>
    <r>
      <t>M</t>
    </r>
    <r>
      <rPr>
        <vertAlign val="subscript"/>
        <sz val="9"/>
        <color indexed="8"/>
        <rFont val="Arial"/>
        <family val="2"/>
      </rPr>
      <t>cr</t>
    </r>
  </si>
  <si>
    <r>
      <t>e</t>
    </r>
    <r>
      <rPr>
        <vertAlign val="subscript"/>
        <sz val="9"/>
        <color indexed="8"/>
        <rFont val="Arial"/>
        <family val="2"/>
      </rPr>
      <t>s</t>
    </r>
  </si>
  <si>
    <r>
      <t>A</t>
    </r>
    <r>
      <rPr>
        <vertAlign val="subscript"/>
        <sz val="9"/>
        <color indexed="8"/>
        <rFont val="Arial"/>
        <family val="2"/>
      </rPr>
      <t>s,min</t>
    </r>
  </si>
  <si>
    <r>
      <t>cm</t>
    </r>
    <r>
      <rPr>
        <vertAlign val="superscript"/>
        <sz val="9"/>
        <color indexed="8"/>
        <rFont val="Arial"/>
        <family val="2"/>
      </rPr>
      <t>2</t>
    </r>
  </si>
  <si>
    <r>
      <t>= A</t>
    </r>
    <r>
      <rPr>
        <vertAlign val="subscript"/>
        <sz val="9"/>
        <color indexed="8"/>
        <rFont val="Arial"/>
        <family val="2"/>
      </rPr>
      <t>s,min</t>
    </r>
    <r>
      <rPr>
        <sz val="9"/>
        <color indexed="8"/>
        <rFont val="Arial"/>
        <family val="2"/>
      </rPr>
      <t>/(b</t>
    </r>
    <r>
      <rPr>
        <vertAlign val="subscript"/>
        <sz val="9"/>
        <color indexed="8"/>
        <rFont val="Arial"/>
        <family val="2"/>
      </rPr>
      <t>w</t>
    </r>
    <r>
      <rPr>
        <sz val="9"/>
        <color indexed="8"/>
        <rFont val="Arial"/>
        <family val="2"/>
      </rPr>
      <t>.d)</t>
    </r>
  </si>
  <si>
    <t>As,min</t>
  </si>
  <si>
    <r>
      <t>= 0,26 f</t>
    </r>
    <r>
      <rPr>
        <vertAlign val="subscript"/>
        <sz val="9"/>
        <rFont val="Arial"/>
        <family val="2"/>
      </rPr>
      <t>ct</t>
    </r>
    <r>
      <rPr>
        <sz val="9"/>
        <rFont val="Arial"/>
        <family val="2"/>
      </rPr>
      <t>/f</t>
    </r>
    <r>
      <rPr>
        <vertAlign val="subscript"/>
        <sz val="9"/>
        <rFont val="Arial"/>
        <family val="2"/>
      </rPr>
      <t>yk</t>
    </r>
    <r>
      <rPr>
        <sz val="9"/>
        <rFont val="Arial"/>
        <family val="2"/>
      </rPr>
      <t xml:space="preserve">  selon (9.1)N</t>
    </r>
  </si>
  <si>
    <t xml:space="preserve">Ce document est protégé par le droit d’auteur © Henry Thonier - EGF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</si>
</sst>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&quot; F&quot;;\-#,##0&quot; F&quot;"/>
    <numFmt numFmtId="166" formatCode="#,##0&quot; F&quot;;[Red]\-#,##0&quot; F&quot;"/>
    <numFmt numFmtId="167" formatCode="#,##0.00&quot; F&quot;;\-#,##0.00&quot; F&quot;"/>
    <numFmt numFmtId="168" formatCode="#,##0.00&quot; F&quot;;[Red]\-#,##0.00&quot; F&quot;"/>
    <numFmt numFmtId="169" formatCode="_-* #,##0&quot; F&quot;_-;\-* #,##0&quot; F&quot;_-;_-* &quot;-&quot;&quot; F&quot;_-;_-@_-"/>
    <numFmt numFmtId="170" formatCode="_-* #,##0_ _F_-;\-* #,##0_ _F_-;_-* &quot;-&quot;_ _F_-;_-@_-"/>
    <numFmt numFmtId="171" formatCode="_-* #,##0.00&quot; F&quot;_-;\-* #,##0.00&quot; F&quot;_-;_-* &quot;-&quot;??&quot; F&quot;_-;_-@_-"/>
    <numFmt numFmtId="172" formatCode="_-* #,##0.00_ _F_-;\-* #,##0.00_ _F_-;_-* &quot;-&quot;??_ _F_-;_-@_-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.0000"/>
    <numFmt numFmtId="182" formatCode="0.0"/>
    <numFmt numFmtId="183" formatCode="0.00000"/>
    <numFmt numFmtId="184" formatCode="0.000000"/>
    <numFmt numFmtId="185" formatCode="0.0000000"/>
    <numFmt numFmtId="186" formatCode="d/m/yy"/>
    <numFmt numFmtId="187" formatCode="0.0%"/>
    <numFmt numFmtId="188" formatCode="0.000%"/>
    <numFmt numFmtId="189" formatCode="0.0000%"/>
  </numFmts>
  <fonts count="43">
    <font>
      <sz val="9"/>
      <name val="Arial"/>
      <family val="0"/>
    </font>
    <font>
      <sz val="9"/>
      <name val="Symbol"/>
      <family val="1"/>
    </font>
    <font>
      <vertAlign val="subscript"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9"/>
      <name val="Helv"/>
      <family val="0"/>
    </font>
    <font>
      <sz val="6"/>
      <name val="Arial"/>
      <family val="2"/>
    </font>
    <font>
      <b/>
      <sz val="9"/>
      <name val="Tahoma"/>
      <family val="2"/>
    </font>
    <font>
      <b/>
      <vertAlign val="subscript"/>
      <sz val="9"/>
      <name val="Tahoma"/>
      <family val="2"/>
    </font>
    <font>
      <sz val="9"/>
      <name val="Tahoma"/>
      <family val="2"/>
    </font>
    <font>
      <sz val="8"/>
      <name val="Arial Narrow"/>
      <family val="2"/>
    </font>
    <font>
      <b/>
      <vertAlign val="subscript"/>
      <sz val="9"/>
      <name val="Arial"/>
      <family val="2"/>
    </font>
    <font>
      <b/>
      <sz val="9"/>
      <name val="Symbol"/>
      <family val="1"/>
    </font>
    <font>
      <vertAlign val="subscript"/>
      <sz val="9"/>
      <name val="Arial Narrow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9"/>
      <color indexed="8"/>
      <name val="Symbol"/>
      <family val="1"/>
    </font>
    <font>
      <vertAlign val="superscript"/>
      <sz val="9"/>
      <color indexed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9" borderId="1" applyNumberFormat="0" applyAlignment="0" applyProtection="0"/>
    <xf numFmtId="0" fontId="23" fillId="0" borderId="2" applyNumberFormat="0" applyFill="0" applyAlignment="0" applyProtection="0"/>
    <xf numFmtId="0" fontId="0" fillId="5" borderId="3" applyNumberFormat="0" applyFont="0" applyAlignment="0" applyProtection="0"/>
    <xf numFmtId="0" fontId="24" fillId="3" borderId="1" applyNumberFormat="0" applyAlignment="0" applyProtection="0"/>
    <xf numFmtId="0" fontId="25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0" borderId="0" applyNumberFormat="0" applyBorder="0" applyAlignment="0" applyProtection="0"/>
    <xf numFmtId="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9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14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182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 quotePrefix="1">
      <alignment/>
    </xf>
    <xf numFmtId="164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82" fontId="0" fillId="0" borderId="14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9" fontId="0" fillId="0" borderId="0" xfId="52" applyFont="1" applyFill="1" applyBorder="1" applyAlignment="1" applyProtection="1">
      <alignment horizontal="left"/>
      <protection/>
    </xf>
    <xf numFmtId="0" fontId="0" fillId="10" borderId="14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181" fontId="0" fillId="0" borderId="14" xfId="0" applyNumberFormat="1" applyFont="1" applyFill="1" applyBorder="1" applyAlignment="1" applyProtection="1">
      <alignment horizontal="center"/>
      <protection/>
    </xf>
    <xf numFmtId="181" fontId="0" fillId="1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189" fontId="0" fillId="0" borderId="13" xfId="52" applyNumberFormat="1" applyFont="1" applyBorder="1" applyAlignment="1">
      <alignment horizontal="center"/>
    </xf>
    <xf numFmtId="181" fontId="0" fillId="0" borderId="14" xfId="0" applyNumberFormat="1" applyBorder="1" applyAlignment="1">
      <alignment horizontal="center"/>
    </xf>
    <xf numFmtId="189" fontId="0" fillId="0" borderId="14" xfId="52" applyNumberFormat="1" applyFont="1" applyBorder="1" applyAlignment="1">
      <alignment horizontal="center"/>
    </xf>
    <xf numFmtId="181" fontId="0" fillId="0" borderId="18" xfId="0" applyNumberFormat="1" applyBorder="1" applyAlignment="1">
      <alignment horizontal="center"/>
    </xf>
    <xf numFmtId="189" fontId="0" fillId="0" borderId="18" xfId="52" applyNumberFormat="1" applyFont="1" applyBorder="1" applyAlignment="1">
      <alignment horizontal="center"/>
    </xf>
    <xf numFmtId="0" fontId="1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88" fontId="0" fillId="0" borderId="14" xfId="52" applyNumberFormat="1" applyFont="1" applyBorder="1" applyAlignment="1">
      <alignment horizontal="center"/>
    </xf>
    <xf numFmtId="2" fontId="0" fillId="18" borderId="14" xfId="0" applyNumberFormat="1" applyFill="1" applyBorder="1" applyAlignment="1">
      <alignment horizontal="center"/>
    </xf>
    <xf numFmtId="181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89" fontId="0" fillId="0" borderId="26" xfId="52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 applyProtection="1">
      <alignment horizontal="right"/>
      <protection/>
    </xf>
    <xf numFmtId="0" fontId="5" fillId="0" borderId="0" xfId="0" applyFont="1" applyFill="1" applyBorder="1" applyAlignment="1">
      <alignment horizontal="right"/>
    </xf>
    <xf numFmtId="0" fontId="14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81" fontId="0" fillId="10" borderId="18" xfId="0" applyNumberFormat="1" applyFont="1" applyFill="1" applyBorder="1" applyAlignment="1" applyProtection="1">
      <alignment horizontal="center"/>
      <protection/>
    </xf>
    <xf numFmtId="2" fontId="0" fillId="0" borderId="14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 applyProtection="1" quotePrefix="1">
      <alignment horizontal="right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32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" fillId="0" borderId="26" xfId="0" applyFont="1" applyBorder="1" applyAlignment="1">
      <alignment/>
    </xf>
    <xf numFmtId="182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9" fontId="6" fillId="0" borderId="18" xfId="52" applyNumberFormat="1" applyFont="1" applyBorder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182" fontId="38" fillId="0" borderId="0" xfId="0" applyNumberFormat="1" applyFont="1" applyAlignment="1">
      <alignment horizontal="center"/>
    </xf>
    <xf numFmtId="0" fontId="40" fillId="0" borderId="0" xfId="0" applyFont="1" applyAlignment="1">
      <alignment horizontal="right"/>
    </xf>
    <xf numFmtId="164" fontId="38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10" fontId="38" fillId="0" borderId="0" xfId="52" applyNumberFormat="1" applyFont="1" applyAlignment="1">
      <alignment horizontal="center"/>
    </xf>
    <xf numFmtId="0" fontId="38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182" fontId="0" fillId="18" borderId="13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right"/>
      <protection/>
    </xf>
    <xf numFmtId="164" fontId="0" fillId="0" borderId="18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3" xfId="0" applyFont="1" applyBorder="1" applyAlignment="1">
      <alignment horizontal="center"/>
    </xf>
    <xf numFmtId="0" fontId="0" fillId="7" borderId="34" xfId="0" applyFill="1" applyBorder="1" applyAlignment="1" applyProtection="1">
      <alignment horizontal="center"/>
      <protection locked="0"/>
    </xf>
    <xf numFmtId="0" fontId="0" fillId="7" borderId="35" xfId="0" applyFill="1" applyBorder="1" applyAlignment="1" applyProtection="1">
      <alignment horizontal="center"/>
      <protection locked="0"/>
    </xf>
    <xf numFmtId="0" fontId="0" fillId="7" borderId="36" xfId="0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10575"/>
          <c:w val="0.92775"/>
          <c:h val="0.865"/>
        </c:manualLayout>
      </c:layout>
      <c:scatterChart>
        <c:scatterStyle val="lineMarker"/>
        <c:varyColors val="0"/>
        <c:ser>
          <c:idx val="2"/>
          <c:order val="0"/>
          <c:tx>
            <c:strRef>
              <c:f>'% minimum'!$D$61</c:f>
              <c:strCache>
                <c:ptCount val="1"/>
                <c:pt idx="0">
                  <c:v>fctm(t)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 minimum'!$A$62:$A$94</c:f>
              <c:numCache/>
            </c:numRef>
          </c:xVal>
          <c:yVal>
            <c:numRef>
              <c:f>'% minimum'!$D$62:$D$94</c:f>
              <c:numCache/>
            </c:numRef>
          </c:yVal>
          <c:smooth val="0"/>
        </c:ser>
        <c:ser>
          <c:idx val="5"/>
          <c:order val="1"/>
          <c:tx>
            <c:strRef>
              <c:f>'% minimum'!$G$61</c:f>
              <c:strCache>
                <c:ptCount val="1"/>
                <c:pt idx="0">
                  <c:v>ecs(t).Ecm(t)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 minimum'!$A$62:$A$94</c:f>
              <c:numCache/>
            </c:numRef>
          </c:xVal>
          <c:yVal>
            <c:numRef>
              <c:f>'% minimum'!$G$62:$G$94</c:f>
              <c:numCache/>
            </c:numRef>
          </c:yVal>
          <c:smooth val="0"/>
        </c:ser>
        <c:axId val="42727957"/>
        <c:axId val="49007294"/>
      </c:scatterChart>
      <c:valAx>
        <c:axId val="4272795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294"/>
        <c:crosses val="autoZero"/>
        <c:crossBetween val="midCat"/>
        <c:dispUnits/>
        <c:majorUnit val="5"/>
      </c:valAx>
      <c:valAx>
        <c:axId val="4900729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79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475"/>
          <c:y val="0.00875"/>
          <c:w val="0.592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61</xdr:row>
      <xdr:rowOff>104775</xdr:rowOff>
    </xdr:from>
    <xdr:to>
      <xdr:col>12</xdr:col>
      <xdr:colOff>276225</xdr:colOff>
      <xdr:row>83</xdr:row>
      <xdr:rowOff>85725</xdr:rowOff>
    </xdr:to>
    <xdr:graphicFrame>
      <xdr:nvGraphicFramePr>
        <xdr:cNvPr id="1" name="Graphique 67"/>
        <xdr:cNvGraphicFramePr/>
      </xdr:nvGraphicFramePr>
      <xdr:xfrm>
        <a:off x="3714750" y="10334625"/>
        <a:ext cx="27241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ureau\aaMac5avr06\ConcCalcStuvtB&#226;t\TOME7\ProgrammesT7\Programmes%20CSTB\15%20EC2FluaRetr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"/>
      <sheetName val="Mode d'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V119"/>
  <sheetViews>
    <sheetView showGridLines="0" tabSelected="1" view="pageBreakPreview" zoomScaleSheetLayoutView="100" zoomScalePageLayoutView="0" workbookViewId="0" topLeftCell="A1">
      <selection activeCell="J20" sqref="J20"/>
    </sheetView>
  </sheetViews>
  <sheetFormatPr defaultColWidth="11.421875" defaultRowHeight="12"/>
  <cols>
    <col min="1" max="2" width="7.8515625" style="0" customWidth="1"/>
    <col min="3" max="3" width="6.28125" style="0" customWidth="1"/>
    <col min="4" max="10" width="7.8515625" style="0" customWidth="1"/>
    <col min="11" max="13" width="7.7109375" style="0" customWidth="1"/>
    <col min="14" max="14" width="9.00390625" style="0" customWidth="1"/>
    <col min="15" max="17" width="7.7109375" style="0" customWidth="1"/>
    <col min="20" max="22" width="8.421875" style="3" customWidth="1"/>
  </cols>
  <sheetData>
    <row r="1" spans="2:9" ht="12.75" thickBot="1">
      <c r="B1" s="115" t="s">
        <v>158</v>
      </c>
      <c r="C1" s="115"/>
      <c r="D1" s="115"/>
      <c r="E1" s="115"/>
      <c r="F1" s="115"/>
      <c r="G1" s="115"/>
      <c r="H1" s="115"/>
      <c r="I1" s="115"/>
    </row>
    <row r="2" spans="1:11" ht="12.75">
      <c r="A2" s="51" t="s">
        <v>101</v>
      </c>
      <c r="I2" s="84" t="s">
        <v>106</v>
      </c>
      <c r="K2" s="83" t="s">
        <v>102</v>
      </c>
    </row>
    <row r="3" spans="9:11" ht="12.75">
      <c r="I3" s="52"/>
      <c r="K3" s="83" t="s">
        <v>103</v>
      </c>
    </row>
    <row r="4" ht="12.75">
      <c r="K4" s="83" t="s">
        <v>104</v>
      </c>
    </row>
    <row r="5" spans="2:20" ht="13.5" thickBot="1">
      <c r="B5" s="51" t="s">
        <v>143</v>
      </c>
      <c r="K5" s="83" t="s">
        <v>105</v>
      </c>
      <c r="T5"/>
    </row>
    <row r="6" spans="1:20" ht="14.25" thickTop="1">
      <c r="A6" s="2" t="s">
        <v>8</v>
      </c>
      <c r="B6" s="116">
        <v>25</v>
      </c>
      <c r="C6" t="s">
        <v>9</v>
      </c>
      <c r="D6" t="s">
        <v>90</v>
      </c>
      <c r="T6"/>
    </row>
    <row r="7" spans="1:20" ht="13.5">
      <c r="A7" s="53" t="s">
        <v>92</v>
      </c>
      <c r="B7" s="117" t="s">
        <v>16</v>
      </c>
      <c r="D7" t="s">
        <v>91</v>
      </c>
      <c r="T7"/>
    </row>
    <row r="8" spans="1:20" ht="13.5">
      <c r="A8" s="2" t="s">
        <v>20</v>
      </c>
      <c r="B8" s="117">
        <v>2</v>
      </c>
      <c r="C8" t="s">
        <v>45</v>
      </c>
      <c r="D8" s="8" t="s">
        <v>46</v>
      </c>
      <c r="H8" s="91" t="s">
        <v>139</v>
      </c>
      <c r="I8" s="83"/>
      <c r="T8"/>
    </row>
    <row r="9" spans="1:20" ht="13.5">
      <c r="A9" s="2" t="s">
        <v>1</v>
      </c>
      <c r="B9" s="117">
        <v>50</v>
      </c>
      <c r="C9" t="s">
        <v>2</v>
      </c>
      <c r="D9" t="s">
        <v>93</v>
      </c>
      <c r="G9" s="57" t="s">
        <v>79</v>
      </c>
      <c r="H9" s="110">
        <f>fjou(E62:F94,B8,1)</f>
        <v>13.91023675275974</v>
      </c>
      <c r="I9" t="s">
        <v>45</v>
      </c>
      <c r="J9" s="88" t="s">
        <v>141</v>
      </c>
      <c r="T9"/>
    </row>
    <row r="10" spans="1:20" ht="13.5">
      <c r="A10" s="2" t="s">
        <v>3</v>
      </c>
      <c r="B10" s="117">
        <v>1</v>
      </c>
      <c r="C10" t="s">
        <v>7</v>
      </c>
      <c r="D10" t="s">
        <v>94</v>
      </c>
      <c r="G10" s="2" t="s">
        <v>53</v>
      </c>
      <c r="H10" s="28">
        <f>B10*B11^2*B33/6*1000</f>
        <v>15.400070613714478</v>
      </c>
      <c r="I10" t="s">
        <v>54</v>
      </c>
      <c r="J10" s="7" t="s">
        <v>135</v>
      </c>
      <c r="T10"/>
    </row>
    <row r="11" spans="1:20" ht="13.5">
      <c r="A11" s="2" t="s">
        <v>4</v>
      </c>
      <c r="B11" s="117">
        <v>0.2</v>
      </c>
      <c r="C11" t="s">
        <v>7</v>
      </c>
      <c r="D11" t="s">
        <v>95</v>
      </c>
      <c r="G11" s="2" t="s">
        <v>137</v>
      </c>
      <c r="H11" s="11">
        <f>(B31-8)/B13</f>
        <v>14.479901710128681</v>
      </c>
      <c r="I11" t="s">
        <v>9</v>
      </c>
      <c r="J11" s="24" t="s">
        <v>138</v>
      </c>
      <c r="T11" s="8" t="s">
        <v>146</v>
      </c>
    </row>
    <row r="12" spans="1:22" ht="13.5">
      <c r="A12" s="2" t="s">
        <v>52</v>
      </c>
      <c r="B12" s="117">
        <v>0.17</v>
      </c>
      <c r="C12" t="s">
        <v>7</v>
      </c>
      <c r="D12" t="s">
        <v>96</v>
      </c>
      <c r="G12" s="1" t="s">
        <v>7</v>
      </c>
      <c r="H12" s="74">
        <f>H10/1000/B10/B12^2/H11</f>
        <v>0.036800969120302625</v>
      </c>
      <c r="J12" s="24" t="s">
        <v>136</v>
      </c>
      <c r="T12" s="4" t="s">
        <v>62</v>
      </c>
      <c r="U12" s="59">
        <v>1.05</v>
      </c>
      <c r="V12" s="60">
        <v>25</v>
      </c>
    </row>
    <row r="13" spans="1:22" ht="13.5">
      <c r="A13" s="58" t="s">
        <v>55</v>
      </c>
      <c r="B13" s="117">
        <v>1.5</v>
      </c>
      <c r="D13" t="s">
        <v>97</v>
      </c>
      <c r="G13" s="1" t="s">
        <v>58</v>
      </c>
      <c r="H13" s="74">
        <f>1.25*(1-SQRT(1-2*H12))</f>
        <v>0.04688031705110299</v>
      </c>
      <c r="J13" s="24" t="s">
        <v>59</v>
      </c>
      <c r="T13" s="5" t="s">
        <v>63</v>
      </c>
      <c r="U13" s="61">
        <v>1.08</v>
      </c>
      <c r="V13" s="62">
        <v>50</v>
      </c>
    </row>
    <row r="14" spans="1:22" ht="13.5">
      <c r="A14" s="57" t="s">
        <v>56</v>
      </c>
      <c r="B14" s="117">
        <v>500</v>
      </c>
      <c r="C14" t="s">
        <v>9</v>
      </c>
      <c r="D14" t="s">
        <v>98</v>
      </c>
      <c r="G14" s="22" t="s">
        <v>60</v>
      </c>
      <c r="H14" s="10">
        <f>MIN(B21*0.9,3.5*(1-H13)/H13)</f>
        <v>45</v>
      </c>
      <c r="I14" s="40" t="s">
        <v>21</v>
      </c>
      <c r="J14" s="24" t="s">
        <v>134</v>
      </c>
      <c r="T14" s="6" t="s">
        <v>64</v>
      </c>
      <c r="U14" s="63">
        <v>1.15</v>
      </c>
      <c r="V14" s="64">
        <v>75</v>
      </c>
    </row>
    <row r="15" spans="1:14" ht="13.5">
      <c r="A15" s="82" t="s">
        <v>61</v>
      </c>
      <c r="B15" s="117" t="s">
        <v>63</v>
      </c>
      <c r="D15" t="s">
        <v>100</v>
      </c>
      <c r="G15" s="22" t="s">
        <v>67</v>
      </c>
      <c r="H15" s="28">
        <f>IF(H14&lt;B27,H14*200,1+(B20-1)*(H14-B27)/(B21-B27))*B26</f>
        <v>465.92885375494075</v>
      </c>
      <c r="I15" t="s">
        <v>9</v>
      </c>
      <c r="J15" s="24" t="s">
        <v>68</v>
      </c>
      <c r="N15" s="54"/>
    </row>
    <row r="16" spans="1:10" ht="14.25" thickBot="1">
      <c r="A16" s="58" t="s">
        <v>71</v>
      </c>
      <c r="B16" s="118">
        <v>1.15</v>
      </c>
      <c r="D16" t="s">
        <v>99</v>
      </c>
      <c r="G16" s="2" t="s">
        <v>72</v>
      </c>
      <c r="H16" s="27">
        <f>B12*(1-0.4*H13)</f>
        <v>0.16681213844052503</v>
      </c>
      <c r="I16" t="s">
        <v>7</v>
      </c>
      <c r="J16" s="24" t="s">
        <v>140</v>
      </c>
    </row>
    <row r="17" spans="7:20" ht="14.25" thickTop="1">
      <c r="G17" s="2" t="s">
        <v>73</v>
      </c>
      <c r="H17" s="76">
        <f>H10*10/H16/H15</f>
        <v>1.981415045438412</v>
      </c>
      <c r="I17" t="s">
        <v>75</v>
      </c>
      <c r="J17" s="24" t="s">
        <v>74</v>
      </c>
      <c r="T17" t="s">
        <v>145</v>
      </c>
    </row>
    <row r="18" spans="1:21" ht="13.5">
      <c r="A18" s="1"/>
      <c r="B18" s="3"/>
      <c r="C18" s="40"/>
      <c r="G18" s="2" t="s">
        <v>78</v>
      </c>
      <c r="H18" s="75">
        <f>H17/B10/B12/10000</f>
        <v>0.0011655382620225953</v>
      </c>
      <c r="J18" s="24" t="s">
        <v>80</v>
      </c>
      <c r="U18" s="3" t="s">
        <v>38</v>
      </c>
    </row>
    <row r="19" spans="7:21" ht="13.5">
      <c r="G19" s="2" t="s">
        <v>78</v>
      </c>
      <c r="H19" s="30">
        <f>H17/B10</f>
        <v>1.981415045438412</v>
      </c>
      <c r="I19" t="s">
        <v>122</v>
      </c>
      <c r="J19" s="24" t="s">
        <v>132</v>
      </c>
      <c r="T19" s="4" t="s">
        <v>14</v>
      </c>
      <c r="U19" s="12">
        <v>0.38</v>
      </c>
    </row>
    <row r="20" spans="1:21" ht="13.5">
      <c r="A20" s="2" t="s">
        <v>65</v>
      </c>
      <c r="B20" s="9">
        <f>VLOOKUP(B15,T12:V14,2)</f>
        <v>1.08</v>
      </c>
      <c r="D20" t="s">
        <v>144</v>
      </c>
      <c r="G20" s="2" t="s">
        <v>73</v>
      </c>
      <c r="H20" s="98">
        <f>0.26*B24/500*B10*B12*10000</f>
        <v>2.2674281052932996</v>
      </c>
      <c r="I20" t="s">
        <v>75</v>
      </c>
      <c r="J20" t="s">
        <v>123</v>
      </c>
      <c r="T20" s="5" t="s">
        <v>15</v>
      </c>
      <c r="U20" s="13">
        <v>0.25</v>
      </c>
    </row>
    <row r="21" spans="1:21" ht="13.5">
      <c r="A21" s="1" t="s">
        <v>66</v>
      </c>
      <c r="B21" s="10">
        <f>VLOOKUP(B15,T12:V14,3)</f>
        <v>50</v>
      </c>
      <c r="C21" s="40" t="s">
        <v>21</v>
      </c>
      <c r="D21" t="s">
        <v>144</v>
      </c>
      <c r="H21" s="99">
        <f>1-H17/H20</f>
        <v>0.12613985827695773</v>
      </c>
      <c r="J21" t="s">
        <v>142</v>
      </c>
      <c r="T21" s="5" t="s">
        <v>16</v>
      </c>
      <c r="U21" s="13">
        <v>0.25</v>
      </c>
    </row>
    <row r="22" spans="1:21" ht="13.5">
      <c r="A22" s="56" t="s">
        <v>57</v>
      </c>
      <c r="B22" s="28">
        <f>B6/B13</f>
        <v>16.666666666666668</v>
      </c>
      <c r="C22" t="s">
        <v>9</v>
      </c>
      <c r="D22" s="24" t="s">
        <v>111</v>
      </c>
      <c r="T22" s="5" t="s">
        <v>17</v>
      </c>
      <c r="U22" s="13">
        <v>0.2</v>
      </c>
    </row>
    <row r="23" spans="1:21" ht="13.5">
      <c r="A23" s="56" t="s">
        <v>0</v>
      </c>
      <c r="B23" s="10">
        <f>B6+8</f>
        <v>33</v>
      </c>
      <c r="C23" t="s">
        <v>9</v>
      </c>
      <c r="D23" s="24" t="s">
        <v>112</v>
      </c>
      <c r="T23" s="5" t="s">
        <v>18</v>
      </c>
      <c r="U23" s="13">
        <v>0.2</v>
      </c>
    </row>
    <row r="24" spans="1:21" ht="13.5">
      <c r="A24" s="56" t="s">
        <v>41</v>
      </c>
      <c r="B24" s="86">
        <f>IF(B6&gt;50,2.12*LN(1+(B6+8)/10),0.3*B6^(2/3))</f>
        <v>2.5649639200150443</v>
      </c>
      <c r="C24" t="s">
        <v>9</v>
      </c>
      <c r="D24" s="24" t="s">
        <v>113</v>
      </c>
      <c r="T24" s="6" t="s">
        <v>19</v>
      </c>
      <c r="U24" s="14">
        <v>0.2</v>
      </c>
    </row>
    <row r="25" spans="1:12" ht="13.5">
      <c r="A25" s="56" t="s">
        <v>43</v>
      </c>
      <c r="B25" s="28">
        <f>22*(B23/10)^0.3</f>
        <v>31.475806210019346</v>
      </c>
      <c r="C25" t="s">
        <v>11</v>
      </c>
      <c r="D25" s="24" t="s">
        <v>114</v>
      </c>
      <c r="G25" s="93" t="s">
        <v>128</v>
      </c>
      <c r="H25" s="31"/>
      <c r="I25" s="31"/>
      <c r="J25" s="31"/>
      <c r="K25" s="31"/>
      <c r="L25" s="32"/>
    </row>
    <row r="26" spans="1:12" ht="13.5">
      <c r="A26" s="56" t="s">
        <v>70</v>
      </c>
      <c r="B26" s="28">
        <f>B14/B16</f>
        <v>434.7826086956522</v>
      </c>
      <c r="C26" t="s">
        <v>9</v>
      </c>
      <c r="D26" s="24" t="s">
        <v>76</v>
      </c>
      <c r="G26" s="94" t="s">
        <v>129</v>
      </c>
      <c r="H26" s="33"/>
      <c r="I26" s="33"/>
      <c r="J26" s="33"/>
      <c r="K26" s="33"/>
      <c r="L26" s="34"/>
    </row>
    <row r="27" spans="1:12" ht="13.5">
      <c r="A27" s="22" t="s">
        <v>69</v>
      </c>
      <c r="B27" s="11">
        <f>B26/200</f>
        <v>2.1739130434782608</v>
      </c>
      <c r="C27" s="40" t="s">
        <v>21</v>
      </c>
      <c r="D27" s="24" t="s">
        <v>77</v>
      </c>
      <c r="G27" s="35" t="s">
        <v>130</v>
      </c>
      <c r="H27" s="33"/>
      <c r="I27" s="33"/>
      <c r="J27" s="33"/>
      <c r="K27" s="33"/>
      <c r="L27" s="34"/>
    </row>
    <row r="28" spans="1:12" ht="12">
      <c r="A28" s="2" t="s">
        <v>38</v>
      </c>
      <c r="B28" s="10">
        <f>VLOOKUP(B7,T19:U24,2)</f>
        <v>0.25</v>
      </c>
      <c r="D28" t="s">
        <v>115</v>
      </c>
      <c r="G28" s="36" t="s">
        <v>131</v>
      </c>
      <c r="H28" s="37"/>
      <c r="I28" s="37"/>
      <c r="J28" s="37"/>
      <c r="K28" s="37"/>
      <c r="L28" s="38"/>
    </row>
    <row r="29" spans="1:4" ht="13.5">
      <c r="A29" s="22" t="s">
        <v>39</v>
      </c>
      <c r="B29" s="27">
        <f>EXP(B28*(1-(28/H9)^0.5))</f>
        <v>0.900601592884637</v>
      </c>
      <c r="C29" s="88" t="str">
        <f>"à "&amp;ROUND(H9,1)&amp;" jours"</f>
        <v>à 13,9 jours</v>
      </c>
      <c r="D29" t="s">
        <v>116</v>
      </c>
    </row>
    <row r="30" spans="1:4" ht="12">
      <c r="A30" s="22" t="s">
        <v>12</v>
      </c>
      <c r="B30" s="87">
        <f>IF(H9&lt;28,1,2/3)</f>
        <v>1</v>
      </c>
      <c r="D30" t="s">
        <v>117</v>
      </c>
    </row>
    <row r="31" spans="1:10" ht="13.5">
      <c r="A31" s="2" t="s">
        <v>40</v>
      </c>
      <c r="B31" s="28">
        <f>B29*B23</f>
        <v>29.719852565193023</v>
      </c>
      <c r="C31" t="s">
        <v>9</v>
      </c>
      <c r="D31" s="89" t="s">
        <v>118</v>
      </c>
      <c r="J31" s="111" t="s">
        <v>49</v>
      </c>
    </row>
    <row r="32" spans="1:10" ht="13.5">
      <c r="A32" s="2" t="s">
        <v>42</v>
      </c>
      <c r="B32" s="28">
        <f>(B31/B23)^0.3*B25</f>
        <v>30.502587106285414</v>
      </c>
      <c r="C32" t="s">
        <v>11</v>
      </c>
      <c r="D32" s="24" t="s">
        <v>119</v>
      </c>
      <c r="I32" s="2" t="s">
        <v>42</v>
      </c>
      <c r="J32" s="73">
        <f>frap(B6,B7,B8,H9,B9,B10,B11,3)</f>
        <v>30.502587106285414</v>
      </c>
    </row>
    <row r="33" spans="1:10" ht="13.5">
      <c r="A33" s="2" t="s">
        <v>44</v>
      </c>
      <c r="B33" s="11">
        <f>B29^B30*B24</f>
        <v>2.3100105920571714</v>
      </c>
      <c r="C33" t="s">
        <v>9</v>
      </c>
      <c r="D33" s="90" t="s">
        <v>120</v>
      </c>
      <c r="I33" s="2" t="s">
        <v>44</v>
      </c>
      <c r="J33" s="30">
        <f>frap(B6,B7,B8,H9,B9,B10,B11,2)</f>
        <v>2.3100105920571723</v>
      </c>
    </row>
    <row r="34" spans="1:4" ht="13.5">
      <c r="A34" s="41" t="s">
        <v>37</v>
      </c>
      <c r="B34" s="67">
        <f>fret(B6,B7,B8,H9,B9,B10,B11)</f>
        <v>0.07573653224945007</v>
      </c>
      <c r="C34" s="46" t="s">
        <v>21</v>
      </c>
      <c r="D34" s="40" t="s">
        <v>82</v>
      </c>
    </row>
    <row r="35" spans="1:4" ht="13.5">
      <c r="A35" s="112" t="s">
        <v>110</v>
      </c>
      <c r="B35" s="113">
        <f>fret(B6,B7,B8,50*365,B9,B10,B11)</f>
        <v>0.49619180584333483</v>
      </c>
      <c r="C35" s="16" t="s">
        <v>21</v>
      </c>
      <c r="D35" s="114" t="s">
        <v>89</v>
      </c>
    </row>
    <row r="36" ht="12">
      <c r="I36" s="41"/>
    </row>
    <row r="37" ht="12"/>
    <row r="38" ht="13.5">
      <c r="A38" s="50" t="s">
        <v>121</v>
      </c>
    </row>
    <row r="39" ht="12">
      <c r="B39" s="3" t="str">
        <f>"à "&amp;ROUND(H9,1)&amp;" jours"</f>
        <v>à 13,9 jours</v>
      </c>
    </row>
    <row r="40" ht="12">
      <c r="J40" s="17"/>
    </row>
    <row r="41" spans="1:10" ht="13.5">
      <c r="A41" s="2" t="s">
        <v>6</v>
      </c>
      <c r="B41" s="9">
        <f>B10*B11</f>
        <v>0.2</v>
      </c>
      <c r="C41" t="s">
        <v>23</v>
      </c>
      <c r="D41" t="s">
        <v>84</v>
      </c>
      <c r="J41" s="17"/>
    </row>
    <row r="42" spans="1:10" ht="12">
      <c r="A42" s="2" t="s">
        <v>5</v>
      </c>
      <c r="B42" s="10">
        <f>2*(B10+B11)</f>
        <v>2.4</v>
      </c>
      <c r="C42" t="s">
        <v>7</v>
      </c>
      <c r="D42" t="s">
        <v>85</v>
      </c>
      <c r="J42" s="17"/>
    </row>
    <row r="43" spans="1:4" ht="13.5">
      <c r="A43" s="19" t="s">
        <v>13</v>
      </c>
      <c r="B43" s="23">
        <f>2*B41/B42*1000</f>
        <v>166.66666666666669</v>
      </c>
      <c r="C43" s="16" t="s">
        <v>10</v>
      </c>
      <c r="D43" s="15" t="s">
        <v>83</v>
      </c>
    </row>
    <row r="44" spans="1:4" ht="13.5">
      <c r="A44" s="81" t="s">
        <v>24</v>
      </c>
      <c r="B44" s="20">
        <f>alphacc(B7,3)</f>
        <v>4</v>
      </c>
      <c r="D44" s="46" t="s">
        <v>86</v>
      </c>
    </row>
    <row r="45" spans="1:4" ht="13.5">
      <c r="A45" s="81" t="s">
        <v>25</v>
      </c>
      <c r="B45" s="20">
        <f>alphacc(B7,4)</f>
        <v>0.11999999731779099</v>
      </c>
      <c r="D45" s="46" t="s">
        <v>26</v>
      </c>
    </row>
    <row r="46" spans="1:4" ht="13.5">
      <c r="A46" s="43" t="s">
        <v>27</v>
      </c>
      <c r="B46" s="48">
        <f>kh(B43)</f>
        <v>0.8999999999999999</v>
      </c>
      <c r="C46" s="47"/>
      <c r="D46" s="46" t="s">
        <v>28</v>
      </c>
    </row>
    <row r="47" spans="1:5" ht="13.5">
      <c r="A47" s="81" t="s">
        <v>29</v>
      </c>
      <c r="B47" s="48">
        <f>0.85*((220+110*B44)*EXP(-B45*(B6+8)/10))/10^3*B48</f>
        <v>0.5120613554282135</v>
      </c>
      <c r="C47" s="46" t="s">
        <v>21</v>
      </c>
      <c r="D47" s="46" t="s">
        <v>30</v>
      </c>
      <c r="E47" s="51"/>
    </row>
    <row r="48" spans="1:4" ht="13.5">
      <c r="A48" s="81" t="s">
        <v>22</v>
      </c>
      <c r="B48" s="48">
        <f>1.55*(1-(B9/100)^3)</f>
        <v>1.35625</v>
      </c>
      <c r="D48" s="46" t="s">
        <v>31</v>
      </c>
    </row>
    <row r="49" spans="1:4" ht="13.5">
      <c r="A49" s="81" t="s">
        <v>32</v>
      </c>
      <c r="B49" s="48">
        <f>(H9-B8)/(H9-B8+0.04*SQRT(B43^3))</f>
        <v>0.12156213684371317</v>
      </c>
      <c r="D49" s="46" t="s">
        <v>33</v>
      </c>
    </row>
    <row r="50" spans="1:4" ht="13.5">
      <c r="A50" s="81" t="s">
        <v>81</v>
      </c>
      <c r="B50" s="20">
        <f>2.5*(B6-10)/10^3</f>
        <v>0.0375</v>
      </c>
      <c r="C50" s="46" t="s">
        <v>21</v>
      </c>
      <c r="D50" s="46" t="s">
        <v>87</v>
      </c>
    </row>
    <row r="51" spans="1:4" ht="14.25">
      <c r="A51" s="81" t="s">
        <v>34</v>
      </c>
      <c r="B51" s="20">
        <f>1-EXP(-0.2*H9^0.5)</f>
        <v>0.5257063317459811</v>
      </c>
      <c r="C51" s="47"/>
      <c r="D51" s="46" t="s">
        <v>88</v>
      </c>
    </row>
    <row r="52" spans="1:6" ht="13.5">
      <c r="A52" s="81" t="s">
        <v>35</v>
      </c>
      <c r="B52" s="49">
        <f>B47*B49*B46</f>
        <v>0.05602254530484756</v>
      </c>
      <c r="C52" s="46" t="s">
        <v>21</v>
      </c>
      <c r="D52" s="44" t="s">
        <v>108</v>
      </c>
      <c r="F52" s="42" t="s">
        <v>124</v>
      </c>
    </row>
    <row r="53" spans="1:6" ht="13.5">
      <c r="A53" s="81" t="s">
        <v>36</v>
      </c>
      <c r="B53" s="45">
        <f>B50*B51</f>
        <v>0.01971398744047429</v>
      </c>
      <c r="C53" s="46" t="s">
        <v>21</v>
      </c>
      <c r="D53" s="44" t="s">
        <v>109</v>
      </c>
      <c r="F53" s="42" t="s">
        <v>125</v>
      </c>
    </row>
    <row r="54" spans="1:6" ht="13.5">
      <c r="A54" s="81" t="s">
        <v>37</v>
      </c>
      <c r="B54" s="85">
        <f>B53+B52</f>
        <v>0.07573653274532186</v>
      </c>
      <c r="C54" s="46" t="s">
        <v>21</v>
      </c>
      <c r="D54" s="44" t="s">
        <v>107</v>
      </c>
      <c r="F54" s="42" t="s">
        <v>126</v>
      </c>
    </row>
    <row r="55" spans="2:4" ht="12">
      <c r="B55" s="97" t="str">
        <f>IF(ABS(B54/B34-1)&lt;0.001,"OK","KO")</f>
        <v>OK</v>
      </c>
      <c r="D55" s="46"/>
    </row>
    <row r="56" ht="12">
      <c r="D56" s="17"/>
    </row>
    <row r="57" spans="4:5" ht="12">
      <c r="D57" s="21"/>
      <c r="E57" s="18"/>
    </row>
    <row r="60" spans="1:7" ht="12">
      <c r="A60" s="96">
        <f>H9</f>
        <v>13.91023675275974</v>
      </c>
      <c r="B60" s="65">
        <f>fret(B$6,B$7,B$8,A60,B$9,B$10,B$11)</f>
        <v>0.07573653224945007</v>
      </c>
      <c r="C60" s="26">
        <f>frap(B$6,B$7,B$8,A60,B$9,B$10,B$11,3)</f>
        <v>30.502587106285414</v>
      </c>
      <c r="D60" s="26">
        <f>frap(B$6,B$7,B$8,A60,B$9,B$10,B$11,2)</f>
        <v>2.3100105920571723</v>
      </c>
      <c r="E60" s="26">
        <f>B60*C60/D60</f>
        <v>1.0000647529540285</v>
      </c>
      <c r="F60" s="66">
        <f>0.26*D60/500</f>
        <v>0.0012012055078697297</v>
      </c>
      <c r="G60" s="25">
        <f>B60*C60</f>
        <v>2.310160172066845</v>
      </c>
    </row>
    <row r="61" spans="1:8" ht="15">
      <c r="A61" s="2" t="s">
        <v>79</v>
      </c>
      <c r="B61" s="71" t="s">
        <v>37</v>
      </c>
      <c r="C61" s="39" t="s">
        <v>47</v>
      </c>
      <c r="D61" s="39" t="s">
        <v>48</v>
      </c>
      <c r="E61" s="72" t="s">
        <v>50</v>
      </c>
      <c r="F61" s="39" t="s">
        <v>51</v>
      </c>
      <c r="G61" s="95" t="s">
        <v>133</v>
      </c>
      <c r="H61" s="92" t="s">
        <v>127</v>
      </c>
    </row>
    <row r="62" spans="1:7" ht="12">
      <c r="A62">
        <f>B8+1</f>
        <v>3</v>
      </c>
      <c r="B62" s="65">
        <f aca="true" t="shared" si="0" ref="B62:B94">fret(B$6,B$7,B$8,A62,B$9,B$10,B$11)</f>
        <v>0.016272314640782135</v>
      </c>
      <c r="C62" s="26">
        <f aca="true" t="shared" si="1" ref="C62:C94">frap(B$6,B$7,B$8,A62,B$9,B$10,B$11,3)</f>
        <v>26.9798531852934</v>
      </c>
      <c r="D62" s="26">
        <f aca="true" t="shared" si="2" ref="D62:D94">frap(B$6,B$7,B$8,A62,B$9,B$10,B$11,2)</f>
        <v>1.5344650158692017</v>
      </c>
      <c r="E62" s="26">
        <f>B62*C62/D62</f>
        <v>0.28610926639113743</v>
      </c>
      <c r="F62" s="66">
        <f>0.26*D62/500</f>
        <v>0.0007979218082519849</v>
      </c>
      <c r="G62" s="25">
        <f>B62*C62</f>
        <v>0.43902465999320234</v>
      </c>
    </row>
    <row r="63" spans="1:7" ht="12">
      <c r="A63">
        <f>A62+1</f>
        <v>4</v>
      </c>
      <c r="B63" s="67">
        <f t="shared" si="0"/>
        <v>0.022829095604669</v>
      </c>
      <c r="C63" s="11">
        <f t="shared" si="1"/>
        <v>27.820908590300636</v>
      </c>
      <c r="D63" s="11">
        <f t="shared" si="2"/>
        <v>1.6997931794035608</v>
      </c>
      <c r="E63" s="11">
        <f aca="true" t="shared" si="3" ref="E63:E94">B63*C63/D63</f>
        <v>0.37364909432075094</v>
      </c>
      <c r="F63" s="68">
        <f aca="true" t="shared" si="4" ref="F63:F94">0.26*D63/500</f>
        <v>0.0008838924532898517</v>
      </c>
      <c r="G63" s="27">
        <f aca="true" t="shared" si="5" ref="G63:G94">B63*C63</f>
        <v>0.6351261820167302</v>
      </c>
    </row>
    <row r="64" spans="1:7" ht="12">
      <c r="A64">
        <f aca="true" t="shared" si="6" ref="A64:A94">A63+1</f>
        <v>5</v>
      </c>
      <c r="B64" s="67">
        <f t="shared" si="0"/>
        <v>0.029045107928810255</v>
      </c>
      <c r="C64" s="11">
        <f t="shared" si="1"/>
        <v>28.409875125283143</v>
      </c>
      <c r="D64" s="11">
        <f t="shared" si="2"/>
        <v>1.8227319261353343</v>
      </c>
      <c r="E64" s="11">
        <f t="shared" si="3"/>
        <v>0.4527094069216427</v>
      </c>
      <c r="F64" s="68">
        <f t="shared" si="4"/>
        <v>0.0009478206015903738</v>
      </c>
      <c r="G64" s="27">
        <f t="shared" si="5"/>
        <v>0.8251678892578707</v>
      </c>
    </row>
    <row r="65" spans="1:7" ht="12">
      <c r="A65">
        <f t="shared" si="6"/>
        <v>6</v>
      </c>
      <c r="B65" s="67">
        <f t="shared" si="0"/>
        <v>0.03499154279918865</v>
      </c>
      <c r="C65" s="11">
        <f t="shared" si="1"/>
        <v>28.852616337191126</v>
      </c>
      <c r="D65" s="11">
        <f t="shared" si="2"/>
        <v>1.9191505905291706</v>
      </c>
      <c r="E65" s="11">
        <f t="shared" si="3"/>
        <v>0.5260647936715664</v>
      </c>
      <c r="F65" s="68">
        <f t="shared" si="4"/>
        <v>0.0009979583070751689</v>
      </c>
      <c r="G65" s="27">
        <f t="shared" si="5"/>
        <v>1.009597559431393</v>
      </c>
    </row>
    <row r="66" spans="1:8" ht="12">
      <c r="A66">
        <f t="shared" si="6"/>
        <v>7</v>
      </c>
      <c r="B66" s="67">
        <f t="shared" si="0"/>
        <v>0.04071183052730154</v>
      </c>
      <c r="C66" s="11">
        <f t="shared" si="1"/>
        <v>29.201474188285264</v>
      </c>
      <c r="D66" s="11">
        <f t="shared" si="2"/>
        <v>1.9975959094576174</v>
      </c>
      <c r="E66" s="11">
        <f t="shared" si="3"/>
        <v>0.5951381171097976</v>
      </c>
      <c r="F66" s="68">
        <f t="shared" si="4"/>
        <v>0.0010387498729179613</v>
      </c>
      <c r="G66" s="27">
        <f t="shared" si="5"/>
        <v>1.18884546830084</v>
      </c>
      <c r="H66" s="92"/>
    </row>
    <row r="67" spans="1:8" ht="12">
      <c r="A67">
        <f t="shared" si="6"/>
        <v>8</v>
      </c>
      <c r="B67" s="67">
        <f t="shared" si="0"/>
        <v>0.04623523019669096</v>
      </c>
      <c r="C67" s="11">
        <f t="shared" si="1"/>
        <v>29.485748410846455</v>
      </c>
      <c r="D67" s="11">
        <f t="shared" si="2"/>
        <v>2.0631568038963355</v>
      </c>
      <c r="E67" s="11">
        <f t="shared" si="3"/>
        <v>0.6607739958119534</v>
      </c>
      <c r="F67" s="68">
        <f t="shared" si="4"/>
        <v>0.0010728415380260945</v>
      </c>
      <c r="G67" s="27">
        <f t="shared" si="5"/>
        <v>1.3632803652972003</v>
      </c>
      <c r="H67" s="92"/>
    </row>
    <row r="68" spans="1:7" ht="12">
      <c r="A68">
        <f t="shared" si="6"/>
        <v>9</v>
      </c>
      <c r="B68" s="67">
        <f t="shared" si="0"/>
        <v>0.05158288032618946</v>
      </c>
      <c r="C68" s="11">
        <f t="shared" si="1"/>
        <v>29.723311244985503</v>
      </c>
      <c r="D68" s="11">
        <f t="shared" si="2"/>
        <v>2.1190881122306875</v>
      </c>
      <c r="E68" s="11">
        <f t="shared" si="3"/>
        <v>0.7235253682935392</v>
      </c>
      <c r="F68" s="68">
        <f t="shared" si="4"/>
        <v>0.0011019258183599576</v>
      </c>
      <c r="G68" s="27">
        <f t="shared" si="5"/>
        <v>1.5332140068481688</v>
      </c>
    </row>
    <row r="69" spans="1:7" ht="12">
      <c r="A69">
        <f t="shared" si="6"/>
        <v>10</v>
      </c>
      <c r="B69" s="67">
        <f t="shared" si="0"/>
        <v>0.056770867243216755</v>
      </c>
      <c r="C69" s="11">
        <f t="shared" si="1"/>
        <v>29.925776218958173</v>
      </c>
      <c r="D69" s="11">
        <f t="shared" si="2"/>
        <v>2.1675866352178694</v>
      </c>
      <c r="E69" s="11">
        <f t="shared" si="3"/>
        <v>0.7837805609582593</v>
      </c>
      <c r="F69" s="68">
        <f t="shared" si="4"/>
        <v>0.0011271450503132921</v>
      </c>
      <c r="G69" s="27">
        <f t="shared" si="5"/>
        <v>1.6989122688766876</v>
      </c>
    </row>
    <row r="70" spans="1:7" ht="12">
      <c r="A70">
        <f t="shared" si="6"/>
        <v>11</v>
      </c>
      <c r="B70" s="67">
        <f t="shared" si="0"/>
        <v>0.06181193259637681</v>
      </c>
      <c r="C70" s="11">
        <f t="shared" si="1"/>
        <v>30.1010660664424</v>
      </c>
      <c r="D70" s="11">
        <f t="shared" si="2"/>
        <v>2.2101986417697184</v>
      </c>
      <c r="E70" s="11">
        <f t="shared" si="3"/>
        <v>0.8418270790756734</v>
      </c>
      <c r="F70" s="68">
        <f t="shared" si="4"/>
        <v>0.0011493032937202536</v>
      </c>
      <c r="G70" s="27">
        <f t="shared" si="5"/>
        <v>1.8606050667780227</v>
      </c>
    </row>
    <row r="71" spans="1:7" ht="12">
      <c r="A71">
        <f t="shared" si="6"/>
        <v>12</v>
      </c>
      <c r="B71" s="67">
        <f t="shared" si="0"/>
        <v>0.06671649268163668</v>
      </c>
      <c r="C71" s="11">
        <f t="shared" si="1"/>
        <v>30.254798546296882</v>
      </c>
      <c r="D71" s="11">
        <f t="shared" si="2"/>
        <v>2.2480498439019327</v>
      </c>
      <c r="E71" s="11">
        <f t="shared" si="3"/>
        <v>0.8978866955613914</v>
      </c>
      <c r="F71" s="68">
        <f t="shared" si="4"/>
        <v>0.001168985918829005</v>
      </c>
      <c r="G71" s="27">
        <f t="shared" si="5"/>
        <v>2.018494045798408</v>
      </c>
    </row>
    <row r="72" spans="1:7" ht="12">
      <c r="A72">
        <f t="shared" si="6"/>
        <v>13</v>
      </c>
      <c r="B72" s="67">
        <f t="shared" si="0"/>
        <v>0.07149328150203849</v>
      </c>
      <c r="C72" s="11">
        <f t="shared" si="1"/>
        <v>30.39108430766481</v>
      </c>
      <c r="D72" s="11">
        <f t="shared" si="2"/>
        <v>2.2819828119501557</v>
      </c>
      <c r="E72" s="11">
        <f t="shared" si="3"/>
        <v>0.9521361572847478</v>
      </c>
      <c r="F72" s="68">
        <f t="shared" si="4"/>
        <v>0.001186631062214081</v>
      </c>
      <c r="G72" s="27">
        <f t="shared" si="5"/>
        <v>2.1727583455600645</v>
      </c>
    </row>
    <row r="73" spans="1:7" ht="12">
      <c r="A73">
        <f t="shared" si="6"/>
        <v>14</v>
      </c>
      <c r="B73" s="67">
        <f t="shared" si="0"/>
        <v>0.07614977503774775</v>
      </c>
      <c r="C73" s="11">
        <f t="shared" si="1"/>
        <v>30.513010814129355</v>
      </c>
      <c r="D73" s="11">
        <f t="shared" si="2"/>
        <v>2.3126429891980838</v>
      </c>
      <c r="E73" s="11">
        <f t="shared" si="3"/>
        <v>1.0047201059883506</v>
      </c>
      <c r="F73" s="68">
        <f t="shared" si="4"/>
        <v>0.0012025743543830037</v>
      </c>
      <c r="G73" s="27">
        <f t="shared" si="5"/>
        <v>2.323558909220315</v>
      </c>
    </row>
    <row r="74" spans="1:7" ht="12">
      <c r="A74">
        <f t="shared" si="6"/>
        <v>15</v>
      </c>
      <c r="B74" s="67">
        <f t="shared" si="0"/>
        <v>0.08069248177529056</v>
      </c>
      <c r="C74" s="11">
        <f t="shared" si="1"/>
        <v>30.62294872582713</v>
      </c>
      <c r="D74" s="11">
        <f t="shared" si="2"/>
        <v>2.340534651272148</v>
      </c>
      <c r="E74" s="11">
        <f t="shared" si="3"/>
        <v>1.0557595165794194</v>
      </c>
      <c r="F74" s="68">
        <f t="shared" si="4"/>
        <v>0.0012170780186615171</v>
      </c>
      <c r="G74" s="27">
        <f t="shared" si="5"/>
        <v>2.471041731964463</v>
      </c>
    </row>
    <row r="75" spans="1:7" ht="12">
      <c r="A75">
        <f t="shared" si="6"/>
        <v>16</v>
      </c>
      <c r="B75" s="67">
        <f t="shared" si="0"/>
        <v>0.08512714802154134</v>
      </c>
      <c r="C75" s="11">
        <f t="shared" si="1"/>
        <v>30.722752987265405</v>
      </c>
      <c r="D75" s="11">
        <f t="shared" si="2"/>
        <v>2.3660585185606284</v>
      </c>
      <c r="E75" s="11">
        <f t="shared" si="3"/>
        <v>1.1053574206470655</v>
      </c>
      <c r="F75" s="68">
        <f t="shared" si="4"/>
        <v>0.0012303504296515269</v>
      </c>
      <c r="G75" s="27">
        <f t="shared" si="5"/>
        <v>2.6153403411761933</v>
      </c>
    </row>
    <row r="76" spans="1:7" ht="12">
      <c r="A76">
        <f t="shared" si="6"/>
        <v>17</v>
      </c>
      <c r="B76" s="67">
        <f t="shared" si="0"/>
        <v>0.08945890698379895</v>
      </c>
      <c r="C76" s="11">
        <f t="shared" si="1"/>
        <v>30.81389891645656</v>
      </c>
      <c r="D76" s="11">
        <f t="shared" si="2"/>
        <v>2.3895377526226285</v>
      </c>
      <c r="E76" s="11">
        <f t="shared" si="3"/>
        <v>1.1536029150198606</v>
      </c>
      <c r="F76" s="68">
        <f t="shared" si="4"/>
        <v>0.0012425596313637669</v>
      </c>
      <c r="G76" s="27">
        <f t="shared" si="5"/>
        <v>2.7565777169754706</v>
      </c>
    </row>
    <row r="77" spans="1:7" ht="12">
      <c r="A77">
        <f t="shared" si="6"/>
        <v>18</v>
      </c>
      <c r="B77" s="67">
        <f t="shared" si="0"/>
        <v>0.09369238960737306</v>
      </c>
      <c r="C77" s="11">
        <f t="shared" si="1"/>
        <v>30.897576772625882</v>
      </c>
      <c r="D77" s="11">
        <f t="shared" si="2"/>
        <v>2.4112363638987384</v>
      </c>
      <c r="E77" s="11">
        <f t="shared" si="3"/>
        <v>1.2005740475080844</v>
      </c>
      <c r="F77" s="68">
        <f t="shared" si="4"/>
        <v>0.001253842909227344</v>
      </c>
      <c r="G77" s="27">
        <f t="shared" si="5"/>
        <v>2.8948678009045845</v>
      </c>
    </row>
    <row r="78" spans="1:7" ht="12">
      <c r="A78">
        <f t="shared" si="6"/>
        <v>19</v>
      </c>
      <c r="B78" s="67">
        <f t="shared" si="0"/>
        <v>0.09783180871681023</v>
      </c>
      <c r="C78" s="11">
        <f t="shared" si="1"/>
        <v>30.974759002576942</v>
      </c>
      <c r="D78" s="11">
        <f t="shared" si="2"/>
        <v>2.431372524800004</v>
      </c>
      <c r="E78" s="11">
        <f t="shared" si="3"/>
        <v>1.246339944570471</v>
      </c>
      <c r="F78" s="68">
        <f t="shared" si="4"/>
        <v>0.001264313712896002</v>
      </c>
      <c r="G78" s="27">
        <f t="shared" si="5"/>
        <v>3.030316697789403</v>
      </c>
    </row>
    <row r="79" spans="1:7" ht="12">
      <c r="A79">
        <f t="shared" si="6"/>
        <v>20</v>
      </c>
      <c r="B79" s="67">
        <f t="shared" si="0"/>
        <v>0.1018810240875443</v>
      </c>
      <c r="C79" s="11">
        <f t="shared" si="1"/>
        <v>31.04624903801841</v>
      </c>
      <c r="D79" s="11">
        <f t="shared" si="2"/>
        <v>2.450128379789485</v>
      </c>
      <c r="E79" s="11">
        <f t="shared" si="3"/>
        <v>1.2909624133009796</v>
      </c>
      <c r="F79" s="68">
        <f t="shared" si="4"/>
        <v>0.0012740667574905322</v>
      </c>
      <c r="G79" s="27">
        <f t="shared" si="5"/>
        <v>3.1630236460702528</v>
      </c>
    </row>
    <row r="80" spans="1:7" ht="12">
      <c r="A80">
        <f t="shared" si="6"/>
        <v>21</v>
      </c>
      <c r="B80" s="67">
        <f t="shared" si="0"/>
        <v>0.10584359361513379</v>
      </c>
      <c r="C80" s="11">
        <f t="shared" si="1"/>
        <v>31.11271734732946</v>
      </c>
      <c r="D80" s="11">
        <f t="shared" si="2"/>
        <v>2.467657395327775</v>
      </c>
      <c r="E80" s="11">
        <f t="shared" si="3"/>
        <v>1.3344971702345447</v>
      </c>
      <c r="F80" s="68">
        <f t="shared" si="4"/>
        <v>0.001283181845570443</v>
      </c>
      <c r="G80" s="27">
        <f t="shared" si="5"/>
        <v>3.2930818111732627</v>
      </c>
    </row>
    <row r="81" spans="1:7" ht="12">
      <c r="A81">
        <f t="shared" si="6"/>
        <v>22</v>
      </c>
      <c r="B81" s="67">
        <f t="shared" si="0"/>
        <v>0.10972281416234088</v>
      </c>
      <c r="C81" s="11">
        <f t="shared" si="1"/>
        <v>31.174728501576414</v>
      </c>
      <c r="D81" s="11">
        <f t="shared" si="2"/>
        <v>2.4840899491880633</v>
      </c>
      <c r="E81" s="11">
        <f t="shared" si="3"/>
        <v>1.3769947996681573</v>
      </c>
      <c r="F81" s="68">
        <f t="shared" si="4"/>
        <v>0.001291726773577793</v>
      </c>
      <c r="G81" s="27">
        <f t="shared" si="5"/>
        <v>3.4205789419399</v>
      </c>
    </row>
    <row r="82" spans="1:7" ht="12">
      <c r="A82">
        <f t="shared" si="6"/>
        <v>23</v>
      </c>
      <c r="B82" s="67">
        <f t="shared" si="0"/>
        <v>0.11352175461500916</v>
      </c>
      <c r="C82" s="11">
        <f t="shared" si="1"/>
        <v>31.2327617894477</v>
      </c>
      <c r="D82" s="11">
        <f t="shared" si="2"/>
        <v>2.4995376382485106</v>
      </c>
      <c r="E82" s="11">
        <f t="shared" si="3"/>
        <v>1.4185015122617664</v>
      </c>
      <c r="F82" s="68">
        <f t="shared" si="4"/>
        <v>0.0012997595718892256</v>
      </c>
      <c r="G82" s="27">
        <f t="shared" si="5"/>
        <v>3.545597919810716</v>
      </c>
    </row>
    <row r="83" spans="1:7" ht="12">
      <c r="A83">
        <f t="shared" si="6"/>
        <v>24</v>
      </c>
      <c r="B83" s="67">
        <f t="shared" si="0"/>
        <v>0.11724328296849604</v>
      </c>
      <c r="C83" s="11">
        <f t="shared" si="1"/>
        <v>31.287227124507137</v>
      </c>
      <c r="D83" s="11">
        <f t="shared" si="2"/>
        <v>2.514096639140361</v>
      </c>
      <c r="E83" s="11">
        <f t="shared" si="3"/>
        <v>1.4590597536904786</v>
      </c>
      <c r="F83" s="68">
        <f t="shared" si="4"/>
        <v>0.0013073302523529877</v>
      </c>
      <c r="G83" s="27">
        <f t="shared" si="5"/>
        <v>3.668217223058195</v>
      </c>
    </row>
    <row r="84" spans="1:7" ht="12">
      <c r="A84">
        <f t="shared" si="6"/>
        <v>25</v>
      </c>
      <c r="B84" s="67">
        <f t="shared" si="0"/>
        <v>0.1208900887775329</v>
      </c>
      <c r="C84" s="11">
        <f t="shared" si="1"/>
        <v>31.338477465829374</v>
      </c>
      <c r="D84" s="11">
        <f t="shared" si="2"/>
        <v>2.527850359119666</v>
      </c>
      <c r="E84" s="11">
        <f t="shared" si="3"/>
        <v>1.4987086990055027</v>
      </c>
      <c r="F84" s="68">
        <f t="shared" si="4"/>
        <v>0.0013144821867422263</v>
      </c>
      <c r="G84" s="27">
        <f t="shared" si="5"/>
        <v>3.7885113229968277</v>
      </c>
    </row>
    <row r="85" spans="1:7" ht="12">
      <c r="A85">
        <f t="shared" si="6"/>
        <v>26</v>
      </c>
      <c r="B85" s="67">
        <f t="shared" si="0"/>
        <v>0.12446470195931066</v>
      </c>
      <c r="C85" s="11">
        <f t="shared" si="1"/>
        <v>31.386818621397918</v>
      </c>
      <c r="D85" s="11">
        <f t="shared" si="2"/>
        <v>2.540871548285883</v>
      </c>
      <c r="E85" s="11">
        <f t="shared" si="3"/>
        <v>1.537484658678894</v>
      </c>
      <c r="F85" s="68">
        <f t="shared" si="4"/>
        <v>0.001321253205108659</v>
      </c>
      <c r="G85" s="27">
        <f t="shared" si="5"/>
        <v>3.9065510251632336</v>
      </c>
    </row>
    <row r="86" spans="1:7" ht="12">
      <c r="A86">
        <f t="shared" si="6"/>
        <v>27</v>
      </c>
      <c r="B86" s="67">
        <f t="shared" si="0"/>
        <v>0.12796950869489784</v>
      </c>
      <c r="C86" s="11">
        <f t="shared" si="1"/>
        <v>31.43251706257932</v>
      </c>
      <c r="D86" s="11">
        <f t="shared" si="2"/>
        <v>2.5532239982636904</v>
      </c>
      <c r="E86" s="11">
        <f t="shared" si="3"/>
        <v>1.5754214155427368</v>
      </c>
      <c r="F86" s="68">
        <f t="shared" si="4"/>
        <v>0.001327676479097119</v>
      </c>
      <c r="G86" s="27">
        <f t="shared" si="5"/>
        <v>4.022403765542269</v>
      </c>
    </row>
    <row r="87" spans="1:7" ht="12">
      <c r="A87">
        <f t="shared" si="6"/>
        <v>28</v>
      </c>
      <c r="B87" s="67">
        <f t="shared" si="0"/>
        <v>0.13140676499696807</v>
      </c>
      <c r="C87" s="11">
        <f t="shared" si="1"/>
        <v>31.475806210019346</v>
      </c>
      <c r="D87" s="11">
        <f t="shared" si="2"/>
        <v>2.564963920015045</v>
      </c>
      <c r="E87" s="11">
        <f t="shared" si="3"/>
        <v>1.6125505070285198</v>
      </c>
      <c r="F87" s="68">
        <f t="shared" si="4"/>
        <v>0.0013337812384078237</v>
      </c>
      <c r="G87" s="27">
        <f t="shared" si="5"/>
        <v>4.136133869730121</v>
      </c>
    </row>
    <row r="88" spans="1:7" ht="12">
      <c r="A88">
        <f t="shared" si="6"/>
        <v>29</v>
      </c>
      <c r="B88" s="67">
        <f t="shared" si="0"/>
        <v>0.13477860838183417</v>
      </c>
      <c r="C88" s="11">
        <f t="shared" si="1"/>
        <v>31.475806210019346</v>
      </c>
      <c r="D88" s="11">
        <f t="shared" si="2"/>
        <v>2.564963920015045</v>
      </c>
      <c r="E88" s="11">
        <f t="shared" si="3"/>
        <v>1.6539278878658914</v>
      </c>
      <c r="F88" s="68">
        <f t="shared" si="4"/>
        <v>0.0013337812384078237</v>
      </c>
      <c r="G88" s="27">
        <f t="shared" si="5"/>
        <v>4.242265358682701</v>
      </c>
    </row>
    <row r="89" spans="1:7" ht="12">
      <c r="A89">
        <f t="shared" si="6"/>
        <v>30</v>
      </c>
      <c r="B89" s="67">
        <f t="shared" si="0"/>
        <v>0.13808706798719952</v>
      </c>
      <c r="C89" s="11">
        <f t="shared" si="1"/>
        <v>31.475806210019346</v>
      </c>
      <c r="D89" s="11">
        <f t="shared" si="2"/>
        <v>2.564963920015045</v>
      </c>
      <c r="E89" s="11">
        <f t="shared" si="3"/>
        <v>1.6945274583236103</v>
      </c>
      <c r="F89" s="68">
        <f t="shared" si="4"/>
        <v>0.0013337812384078237</v>
      </c>
      <c r="G89" s="27">
        <f t="shared" si="5"/>
        <v>4.346401792074858</v>
      </c>
    </row>
    <row r="90" spans="1:7" ht="12">
      <c r="A90">
        <f t="shared" si="6"/>
        <v>31</v>
      </c>
      <c r="B90" s="67">
        <f t="shared" si="0"/>
        <v>0.1413340734044252</v>
      </c>
      <c r="C90" s="11">
        <f t="shared" si="1"/>
        <v>31.475806210019346</v>
      </c>
      <c r="D90" s="11">
        <f t="shared" si="2"/>
        <v>2.564963920015045</v>
      </c>
      <c r="E90" s="11">
        <f t="shared" si="3"/>
        <v>1.734372897270322</v>
      </c>
      <c r="F90" s="68">
        <f t="shared" si="4"/>
        <v>0.0013337812384078237</v>
      </c>
      <c r="G90" s="27">
        <f t="shared" si="5"/>
        <v>4.448603905350336</v>
      </c>
    </row>
    <row r="91" spans="1:7" ht="12">
      <c r="A91">
        <f t="shared" si="6"/>
        <v>32</v>
      </c>
      <c r="B91" s="67">
        <f t="shared" si="0"/>
        <v>0.14452146243893055</v>
      </c>
      <c r="C91" s="11">
        <f t="shared" si="1"/>
        <v>31.475806210019346</v>
      </c>
      <c r="D91" s="11">
        <f t="shared" si="2"/>
        <v>2.564963920015045</v>
      </c>
      <c r="E91" s="11">
        <f t="shared" si="3"/>
        <v>1.7734867572288058</v>
      </c>
      <c r="F91" s="68">
        <f t="shared" si="4"/>
        <v>0.0013337812384078237</v>
      </c>
      <c r="G91" s="27">
        <f t="shared" si="5"/>
        <v>4.548929544916368</v>
      </c>
    </row>
    <row r="92" spans="1:7" ht="12">
      <c r="A92">
        <f t="shared" si="6"/>
        <v>33</v>
      </c>
      <c r="B92" s="67">
        <f t="shared" si="0"/>
        <v>0.14765098796998752</v>
      </c>
      <c r="C92" s="11">
        <f t="shared" si="1"/>
        <v>31.475806210019346</v>
      </c>
      <c r="D92" s="11">
        <f t="shared" si="2"/>
        <v>2.564963920015045</v>
      </c>
      <c r="E92" s="11">
        <f t="shared" si="3"/>
        <v>1.8118905485555385</v>
      </c>
      <c r="F92" s="68">
        <f t="shared" si="4"/>
        <v>0.0013337812384078237</v>
      </c>
      <c r="G92" s="27">
        <f t="shared" si="5"/>
        <v>4.647433884061225</v>
      </c>
    </row>
    <row r="93" spans="1:7" ht="12">
      <c r="A93">
        <f t="shared" si="6"/>
        <v>34</v>
      </c>
      <c r="B93" s="67">
        <f t="shared" si="0"/>
        <v>0.15072432404834468</v>
      </c>
      <c r="C93" s="11">
        <f t="shared" si="1"/>
        <v>31.475806210019346</v>
      </c>
      <c r="D93" s="11">
        <f t="shared" si="2"/>
        <v>2.564963920015045</v>
      </c>
      <c r="E93" s="11">
        <f t="shared" si="3"/>
        <v>1.84960481426734</v>
      </c>
      <c r="F93" s="68">
        <f t="shared" si="4"/>
        <v>0.0013337812384078237</v>
      </c>
      <c r="G93" s="27">
        <f t="shared" si="5"/>
        <v>4.744169614881856</v>
      </c>
    </row>
    <row r="94" spans="1:7" ht="12">
      <c r="A94">
        <f t="shared" si="6"/>
        <v>35</v>
      </c>
      <c r="B94" s="69">
        <f t="shared" si="0"/>
        <v>0.15374307134445733</v>
      </c>
      <c r="C94" s="30">
        <f t="shared" si="1"/>
        <v>31.475806210019346</v>
      </c>
      <c r="D94" s="30">
        <f t="shared" si="2"/>
        <v>2.564963920015045</v>
      </c>
      <c r="E94" s="30">
        <f t="shared" si="3"/>
        <v>1.8866491968990085</v>
      </c>
      <c r="F94" s="70">
        <f t="shared" si="4"/>
        <v>0.0013337812384078237</v>
      </c>
      <c r="G94" s="29">
        <f t="shared" si="5"/>
        <v>4.839187119771317</v>
      </c>
    </row>
    <row r="95" spans="2:7" ht="12">
      <c r="B95" s="54"/>
      <c r="C95" s="55"/>
      <c r="D95" s="55"/>
      <c r="E95" s="55"/>
      <c r="F95" s="55"/>
      <c r="G95" s="55"/>
    </row>
    <row r="96" spans="1:7" ht="12">
      <c r="A96" s="80">
        <f>50*365</f>
        <v>18250</v>
      </c>
      <c r="B96" s="77">
        <f>fret(B$6,B$7,B$8,A96,B$9,B$10,B$11)</f>
        <v>0.49619180584333483</v>
      </c>
      <c r="C96" s="78">
        <f>frap(B$6,B$7,B$8,A96,B$9,B$10,B$11,3)</f>
        <v>31.475806210019346</v>
      </c>
      <c r="D96" s="78">
        <f>frap(B$6,B$7,B$8,A96,B$9,B$10,B$11,2)</f>
        <v>2.564963920015045</v>
      </c>
      <c r="E96" s="78">
        <f>B96*C96/D96</f>
        <v>6.088989011444942</v>
      </c>
      <c r="F96" s="79">
        <f>0.26*D96/500</f>
        <v>0.0013337812384078237</v>
      </c>
      <c r="G96" t="str">
        <f>"à "&amp;ROUND(A96/365,2)&amp;" ans"</f>
        <v>à 50 ans</v>
      </c>
    </row>
    <row r="102" spans="1:4" ht="12">
      <c r="A102" s="100"/>
      <c r="B102" s="101"/>
      <c r="C102" s="101"/>
      <c r="D102" s="102"/>
    </row>
    <row r="103" spans="1:4" ht="13.5">
      <c r="A103" s="100" t="s">
        <v>147</v>
      </c>
      <c r="B103" s="103">
        <f>25/1.5</f>
        <v>16.666666666666668</v>
      </c>
      <c r="C103" s="102" t="s">
        <v>9</v>
      </c>
      <c r="D103" s="102"/>
    </row>
    <row r="104" spans="1:4" ht="13.5">
      <c r="A104" s="100" t="s">
        <v>148</v>
      </c>
      <c r="B104" s="103">
        <f>500/1.15</f>
        <v>434.7826086956522</v>
      </c>
      <c r="C104" s="102" t="s">
        <v>9</v>
      </c>
      <c r="D104" s="102"/>
    </row>
    <row r="105" spans="1:4" ht="12">
      <c r="A105" s="100"/>
      <c r="B105" s="101"/>
      <c r="C105" s="101"/>
      <c r="D105" s="102"/>
    </row>
    <row r="106" spans="1:4" ht="13.5">
      <c r="A106" s="100"/>
      <c r="B106" s="101" t="s">
        <v>149</v>
      </c>
      <c r="C106" s="101" t="s">
        <v>150</v>
      </c>
      <c r="D106" s="102"/>
    </row>
    <row r="107" spans="1:4" ht="13.5">
      <c r="A107" s="40" t="s">
        <v>156</v>
      </c>
      <c r="D107" s="109" t="s">
        <v>157</v>
      </c>
    </row>
    <row r="111" spans="1:4" ht="13.5">
      <c r="A111" s="100" t="s">
        <v>151</v>
      </c>
      <c r="B111" s="101">
        <v>48.23</v>
      </c>
      <c r="C111" s="101">
        <v>117.96</v>
      </c>
      <c r="D111" s="102" t="s">
        <v>54</v>
      </c>
    </row>
    <row r="112" spans="1:4" ht="12">
      <c r="A112" s="100" t="s">
        <v>3</v>
      </c>
      <c r="B112" s="101">
        <v>1.5</v>
      </c>
      <c r="C112" s="101">
        <v>0.25</v>
      </c>
      <c r="D112" s="102" t="s">
        <v>7</v>
      </c>
    </row>
    <row r="113" spans="1:4" ht="12">
      <c r="A113" s="100" t="s">
        <v>52</v>
      </c>
      <c r="B113" s="101">
        <v>0.52</v>
      </c>
      <c r="C113" s="101">
        <v>0.55</v>
      </c>
      <c r="D113" s="102" t="s">
        <v>7</v>
      </c>
    </row>
    <row r="114" spans="1:4" ht="12">
      <c r="A114" s="104" t="s">
        <v>7</v>
      </c>
      <c r="B114" s="105">
        <f>B111/1000/B112/B113^2/$B103</f>
        <v>0.0071346153846153825</v>
      </c>
      <c r="C114" s="105">
        <f>C111/1000/C112/C113^2/$B103</f>
        <v>0.09358809917355371</v>
      </c>
      <c r="D114" s="102"/>
    </row>
    <row r="115" spans="1:4" ht="12">
      <c r="A115" s="104" t="s">
        <v>58</v>
      </c>
      <c r="B115" s="105">
        <f>1.25*(1-SQRT(1-2*B114))</f>
        <v>0.008950312468079813</v>
      </c>
      <c r="C115" s="105">
        <f>1.25*(1-SQRT(1-2*C114))</f>
        <v>0.12304073273137123</v>
      </c>
      <c r="D115" s="102"/>
    </row>
    <row r="116" spans="1:4" ht="13.5">
      <c r="A116" s="104" t="s">
        <v>152</v>
      </c>
      <c r="B116" s="103">
        <f>MIN(45,3.5*(1-B115)/B115)</f>
        <v>45</v>
      </c>
      <c r="C116" s="103">
        <f>MIN(45,3.5*(1-C115)/C115)</f>
        <v>24.94586440850753</v>
      </c>
      <c r="D116" s="102"/>
    </row>
    <row r="117" spans="1:4" ht="12">
      <c r="A117" s="100" t="s">
        <v>72</v>
      </c>
      <c r="B117" s="105">
        <f>B113*(1-0.4*B115)</f>
        <v>0.5181383350066394</v>
      </c>
      <c r="C117" s="105">
        <f>C113*(1-0.4*C115)</f>
        <v>0.5229310387990984</v>
      </c>
      <c r="D117" s="102" t="s">
        <v>7</v>
      </c>
    </row>
    <row r="118" spans="1:4" ht="14.25">
      <c r="A118" s="100" t="s">
        <v>153</v>
      </c>
      <c r="B118" s="106">
        <f>B111*10/B117/$B104</f>
        <v>2.140914742364673</v>
      </c>
      <c r="C118" s="106">
        <f>C111*10/C117/$B104</f>
        <v>5.188217563506153</v>
      </c>
      <c r="D118" s="102" t="s">
        <v>154</v>
      </c>
    </row>
    <row r="119" spans="1:4" ht="13.5">
      <c r="A119" s="104" t="s">
        <v>50</v>
      </c>
      <c r="B119" s="107">
        <f>B118/C112/B113/10000</f>
        <v>0.0016468574941266713</v>
      </c>
      <c r="C119" s="107">
        <f>C118/C112/C113/10000</f>
        <v>0.003773249137095384</v>
      </c>
      <c r="D119" s="108" t="s">
        <v>155</v>
      </c>
    </row>
  </sheetData>
  <sheetProtection password="DE57" sheet="1"/>
  <mergeCells count="1">
    <mergeCell ref="B1:I1"/>
  </mergeCells>
  <conditionalFormatting sqref="B55">
    <cfRule type="cellIs" priority="1" dxfId="0" operator="equal" stopIfTrue="1">
      <formula>"KO"</formula>
    </cfRule>
  </conditionalFormatting>
  <dataValidations count="2">
    <dataValidation type="list" allowBlank="1" showInputMessage="1" showErrorMessage="1" sqref="B15">
      <formula1>$T$12:$T$14</formula1>
    </dataValidation>
    <dataValidation type="list" allowBlank="1" showInputMessage="1" showErrorMessage="1" sqref="B7">
      <formula1>$T$19:$T$24</formula1>
    </dataValidation>
  </dataValidations>
  <printOptions/>
  <pageMargins left="0.75" right="0.75" top="1" bottom="1" header="0.4921259845" footer="0.4921259845"/>
  <pageSetup horizontalDpi="600" verticalDpi="600" orientation="portrait" paperSize="9" scale="90" r:id="rId5"/>
  <rowBreaks count="1" manualBreakCount="1">
    <brk id="58" max="255" man="1"/>
  </rowBreaks>
  <drawing r:id="rId4"/>
  <legacyDrawing r:id="rId3"/>
  <oleObjects>
    <oleObject progId="Equation.3" shapeId="1658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cp:lastPrinted>2020-01-14T16:56:11Z</cp:lastPrinted>
  <dcterms:created xsi:type="dcterms:W3CDTF">2019-01-05T17:08:18Z</dcterms:created>
  <dcterms:modified xsi:type="dcterms:W3CDTF">2021-10-08T16:18:45Z</dcterms:modified>
  <cp:category/>
  <cp:version/>
  <cp:contentType/>
  <cp:contentStatus/>
</cp:coreProperties>
</file>